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ontgomerycollege0-my.sharepoint.com/personal/cburne14_montgomerycollege_edu/Documents/ITI/Course_Development/ITI 490-Virtual Office Management wMS 365/Exercise Files/Ex_Files_Excel_EssT_MSFT_365/Ex_Files_Excel_EssT_MSFT_365/Exercise Files/"/>
    </mc:Choice>
  </mc:AlternateContent>
  <xr:revisionPtr revIDLastSave="0" documentId="8_{B6B7EE16-97FC-4604-BB10-9423FDCD6DB4}" xr6:coauthVersionLast="47" xr6:coauthVersionMax="47" xr10:uidLastSave="{00000000-0000-0000-0000-000000000000}"/>
  <bookViews>
    <workbookView xWindow="-24120" yWindow="2490" windowWidth="24240" windowHeight="13020" tabRatio="755" activeTab="7" xr2:uid="{00000000-000D-0000-FFFF-FFFF00000000}"/>
  </bookViews>
  <sheets>
    <sheet name="Formulas" sheetId="2" r:id="rId1"/>
    <sheet name="CopyFormulas" sheetId="3" r:id="rId2"/>
    <sheet name="YTD and Pct Increase" sheetId="5" state="hidden" r:id="rId3"/>
    <sheet name="Absolute" sheetId="6" state="hidden" r:id="rId4"/>
    <sheet name="SUM AVERAGE" sheetId="7" r:id="rId5"/>
    <sheet name="Functions-Before XLOOKUP" sheetId="8" state="hidden" r:id="rId6"/>
    <sheet name="Functions" sheetId="9" r:id="rId7"/>
    <sheet name="Cell Reference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0" l="1"/>
  <c r="H5" i="10"/>
  <c r="H3" i="10"/>
  <c r="C5" i="10"/>
  <c r="D5" i="10"/>
  <c r="E5" i="10"/>
  <c r="F5" i="10"/>
  <c r="G5" i="10"/>
  <c r="B5" i="10"/>
  <c r="J8" i="7"/>
  <c r="J9" i="7" s="1"/>
  <c r="H2" i="3"/>
  <c r="I2" i="3" s="1"/>
  <c r="B4" i="3"/>
  <c r="Y699" i="9"/>
  <c r="Y698" i="9"/>
  <c r="Y697" i="9"/>
  <c r="Z697" i="9" s="1"/>
  <c r="Y696" i="9"/>
  <c r="Z696" i="9" s="1"/>
  <c r="Y695" i="9"/>
  <c r="Y694" i="9"/>
  <c r="Y693" i="9"/>
  <c r="Y692" i="9"/>
  <c r="Z692" i="9" s="1"/>
  <c r="Y691" i="9"/>
  <c r="Y690" i="9"/>
  <c r="Y689" i="9"/>
  <c r="Z689" i="9" s="1"/>
  <c r="Y688" i="9"/>
  <c r="Z688" i="9" s="1"/>
  <c r="Y687" i="9"/>
  <c r="Y686" i="9"/>
  <c r="Z686" i="9" s="1"/>
  <c r="Y685" i="9"/>
  <c r="Z685" i="9" s="1"/>
  <c r="Y684" i="9"/>
  <c r="Z684" i="9" s="1"/>
  <c r="Y683" i="9"/>
  <c r="Y682" i="9"/>
  <c r="Y681" i="9"/>
  <c r="Z681" i="9" s="1"/>
  <c r="Y680" i="9"/>
  <c r="Z680" i="9" s="1"/>
  <c r="Y679" i="9"/>
  <c r="Y678" i="9"/>
  <c r="Y677" i="9"/>
  <c r="Y676" i="9"/>
  <c r="Z676" i="9" s="1"/>
  <c r="Y675" i="9"/>
  <c r="Y674" i="9"/>
  <c r="Y673" i="9"/>
  <c r="Z673" i="9" s="1"/>
  <c r="Y672" i="9"/>
  <c r="Z672" i="9" s="1"/>
  <c r="Y671" i="9"/>
  <c r="Y670" i="9"/>
  <c r="Z670" i="9" s="1"/>
  <c r="Y669" i="9"/>
  <c r="Z669" i="9" s="1"/>
  <c r="Y668" i="9"/>
  <c r="Z668" i="9" s="1"/>
  <c r="Y667" i="9"/>
  <c r="Y666" i="9"/>
  <c r="Y665" i="9"/>
  <c r="Z665" i="9" s="1"/>
  <c r="Y664" i="9"/>
  <c r="Z664" i="9" s="1"/>
  <c r="Y663" i="9"/>
  <c r="Y662" i="9"/>
  <c r="Y661" i="9"/>
  <c r="Y660" i="9"/>
  <c r="Z660" i="9" s="1"/>
  <c r="Y659" i="9"/>
  <c r="Y658" i="9"/>
  <c r="Y657" i="9"/>
  <c r="Z657" i="9" s="1"/>
  <c r="Y656" i="9"/>
  <c r="Z656" i="9" s="1"/>
  <c r="Y655" i="9"/>
  <c r="Y654" i="9"/>
  <c r="Z654" i="9" s="1"/>
  <c r="Y653" i="9"/>
  <c r="Z653" i="9" s="1"/>
  <c r="Y652" i="9"/>
  <c r="Z652" i="9" s="1"/>
  <c r="Y651" i="9"/>
  <c r="Y650" i="9"/>
  <c r="Y649" i="9"/>
  <c r="Z649" i="9" s="1"/>
  <c r="Y648" i="9"/>
  <c r="Z648" i="9" s="1"/>
  <c r="Y647" i="9"/>
  <c r="Y646" i="9"/>
  <c r="Y645" i="9"/>
  <c r="Z645" i="9" s="1"/>
  <c r="Y644" i="9"/>
  <c r="Z644" i="9" s="1"/>
  <c r="Y643" i="9"/>
  <c r="Y642" i="9"/>
  <c r="Y641" i="9"/>
  <c r="Z641" i="9" s="1"/>
  <c r="Y640" i="9"/>
  <c r="Z640" i="9" s="1"/>
  <c r="Y639" i="9"/>
  <c r="Y638" i="9"/>
  <c r="Z638" i="9" s="1"/>
  <c r="Y637" i="9"/>
  <c r="Z637" i="9" s="1"/>
  <c r="Y636" i="9"/>
  <c r="Z636" i="9" s="1"/>
  <c r="Y635" i="9"/>
  <c r="Y634" i="9"/>
  <c r="Y633" i="9"/>
  <c r="Z633" i="9" s="1"/>
  <c r="Y632" i="9"/>
  <c r="Z632" i="9" s="1"/>
  <c r="Y631" i="9"/>
  <c r="Y630" i="9"/>
  <c r="Y629" i="9"/>
  <c r="Z629" i="9" s="1"/>
  <c r="Y628" i="9"/>
  <c r="Z628" i="9" s="1"/>
  <c r="Y627" i="9"/>
  <c r="Y626" i="9"/>
  <c r="Y625" i="9"/>
  <c r="Z625" i="9" s="1"/>
  <c r="Y624" i="9"/>
  <c r="Z624" i="9" s="1"/>
  <c r="Y623" i="9"/>
  <c r="Y622" i="9"/>
  <c r="Z622" i="9" s="1"/>
  <c r="Y621" i="9"/>
  <c r="Z621" i="9" s="1"/>
  <c r="Y620" i="9"/>
  <c r="Z620" i="9" s="1"/>
  <c r="Y619" i="9"/>
  <c r="Y618" i="9"/>
  <c r="Y617" i="9"/>
  <c r="Z617" i="9" s="1"/>
  <c r="Y616" i="9"/>
  <c r="Z616" i="9" s="1"/>
  <c r="Y615" i="9"/>
  <c r="Y614" i="9"/>
  <c r="Y613" i="9"/>
  <c r="Z613" i="9" s="1"/>
  <c r="Y612" i="9"/>
  <c r="Z612" i="9" s="1"/>
  <c r="Y611" i="9"/>
  <c r="Y610" i="9"/>
  <c r="Y609" i="9"/>
  <c r="Z609" i="9" s="1"/>
  <c r="Y608" i="9"/>
  <c r="Z608" i="9" s="1"/>
  <c r="Y607" i="9"/>
  <c r="Y606" i="9"/>
  <c r="Z606" i="9" s="1"/>
  <c r="Y605" i="9"/>
  <c r="Z605" i="9" s="1"/>
  <c r="Y604" i="9"/>
  <c r="Z604" i="9" s="1"/>
  <c r="Y603" i="9"/>
  <c r="Y602" i="9"/>
  <c r="Y601" i="9"/>
  <c r="Z601" i="9" s="1"/>
  <c r="Y600" i="9"/>
  <c r="Z600" i="9" s="1"/>
  <c r="Y599" i="9"/>
  <c r="Y598" i="9"/>
  <c r="Y597" i="9"/>
  <c r="Z597" i="9" s="1"/>
  <c r="Y596" i="9"/>
  <c r="Z596" i="9" s="1"/>
  <c r="Y595" i="9"/>
  <c r="Y594" i="9"/>
  <c r="Y593" i="9"/>
  <c r="Z593" i="9" s="1"/>
  <c r="Y592" i="9"/>
  <c r="Z592" i="9" s="1"/>
  <c r="Y591" i="9"/>
  <c r="Y590" i="9"/>
  <c r="Y589" i="9"/>
  <c r="Z589" i="9" s="1"/>
  <c r="Y588" i="9"/>
  <c r="Z588" i="9" s="1"/>
  <c r="Y587" i="9"/>
  <c r="Y586" i="9"/>
  <c r="Y585" i="9"/>
  <c r="Z585" i="9" s="1"/>
  <c r="Y584" i="9"/>
  <c r="Z584" i="9" s="1"/>
  <c r="Y583" i="9"/>
  <c r="Y582" i="9"/>
  <c r="Y581" i="9"/>
  <c r="Y580" i="9"/>
  <c r="Z580" i="9" s="1"/>
  <c r="Y579" i="9"/>
  <c r="Y578" i="9"/>
  <c r="Y577" i="9"/>
  <c r="Z577" i="9" s="1"/>
  <c r="Y576" i="9"/>
  <c r="Z576" i="9" s="1"/>
  <c r="Y575" i="9"/>
  <c r="Y574" i="9"/>
  <c r="Y573" i="9"/>
  <c r="Z573" i="9" s="1"/>
  <c r="Y572" i="9"/>
  <c r="Z572" i="9" s="1"/>
  <c r="Y571" i="9"/>
  <c r="Y570" i="9"/>
  <c r="Y569" i="9"/>
  <c r="Z569" i="9" s="1"/>
  <c r="Y568" i="9"/>
  <c r="Z568" i="9" s="1"/>
  <c r="Y567" i="9"/>
  <c r="Y566" i="9"/>
  <c r="Y565" i="9"/>
  <c r="Z565" i="9" s="1"/>
  <c r="Y564" i="9"/>
  <c r="Z564" i="9" s="1"/>
  <c r="Y563" i="9"/>
  <c r="Y562" i="9"/>
  <c r="Y561" i="9"/>
  <c r="Z561" i="9" s="1"/>
  <c r="Y560" i="9"/>
  <c r="Z560" i="9" s="1"/>
  <c r="Y559" i="9"/>
  <c r="Y558" i="9"/>
  <c r="Y557" i="9"/>
  <c r="Z557" i="9" s="1"/>
  <c r="Y556" i="9"/>
  <c r="Z556" i="9" s="1"/>
  <c r="Y555" i="9"/>
  <c r="Y554" i="9"/>
  <c r="Y553" i="9"/>
  <c r="Z553" i="9" s="1"/>
  <c r="Y552" i="9"/>
  <c r="Z552" i="9" s="1"/>
  <c r="Y551" i="9"/>
  <c r="Y550" i="9"/>
  <c r="Y549" i="9"/>
  <c r="Z549" i="9" s="1"/>
  <c r="Y548" i="9"/>
  <c r="Z548" i="9" s="1"/>
  <c r="Y547" i="9"/>
  <c r="Y546" i="9"/>
  <c r="Y545" i="9"/>
  <c r="Z545" i="9" s="1"/>
  <c r="Y544" i="9"/>
  <c r="Z544" i="9" s="1"/>
  <c r="Y543" i="9"/>
  <c r="Y542" i="9"/>
  <c r="Y541" i="9"/>
  <c r="Z541" i="9" s="1"/>
  <c r="Y540" i="9"/>
  <c r="Z540" i="9" s="1"/>
  <c r="Y539" i="9"/>
  <c r="Y538" i="9"/>
  <c r="Y537" i="9"/>
  <c r="Z537" i="9" s="1"/>
  <c r="Y536" i="9"/>
  <c r="Z536" i="9" s="1"/>
  <c r="Y535" i="9"/>
  <c r="Y534" i="9"/>
  <c r="Y533" i="9"/>
  <c r="Z533" i="9" s="1"/>
  <c r="Y532" i="9"/>
  <c r="Z532" i="9" s="1"/>
  <c r="Y531" i="9"/>
  <c r="Y530" i="9"/>
  <c r="Y529" i="9"/>
  <c r="Y528" i="9"/>
  <c r="Z528" i="9" s="1"/>
  <c r="Y527" i="9"/>
  <c r="Y526" i="9"/>
  <c r="Y525" i="9"/>
  <c r="Z525" i="9" s="1"/>
  <c r="Y524" i="9"/>
  <c r="Z524" i="9" s="1"/>
  <c r="Y523" i="9"/>
  <c r="Y522" i="9"/>
  <c r="Y521" i="9"/>
  <c r="Z521" i="9" s="1"/>
  <c r="Y520" i="9"/>
  <c r="Z520" i="9" s="1"/>
  <c r="Y519" i="9"/>
  <c r="Y518" i="9"/>
  <c r="Y517" i="9"/>
  <c r="Z517" i="9" s="1"/>
  <c r="Y516" i="9"/>
  <c r="Z516" i="9" s="1"/>
  <c r="Y515" i="9"/>
  <c r="Y514" i="9"/>
  <c r="Y513" i="9"/>
  <c r="Z513" i="9" s="1"/>
  <c r="Y512" i="9"/>
  <c r="Z512" i="9" s="1"/>
  <c r="Y511" i="9"/>
  <c r="Y510" i="9"/>
  <c r="Y509" i="9"/>
  <c r="Z509" i="9" s="1"/>
  <c r="Y508" i="9"/>
  <c r="Z508" i="9" s="1"/>
  <c r="Y507" i="9"/>
  <c r="Y506" i="9"/>
  <c r="Y505" i="9"/>
  <c r="Z505" i="9" s="1"/>
  <c r="Y504" i="9"/>
  <c r="Z504" i="9" s="1"/>
  <c r="Y503" i="9"/>
  <c r="Y502" i="9"/>
  <c r="Y501" i="9"/>
  <c r="Z501" i="9" s="1"/>
  <c r="Y500" i="9"/>
  <c r="Z500" i="9" s="1"/>
  <c r="Y499" i="9"/>
  <c r="Y498" i="9"/>
  <c r="Y497" i="9"/>
  <c r="Z497" i="9" s="1"/>
  <c r="Y496" i="9"/>
  <c r="Z496" i="9" s="1"/>
  <c r="Y495" i="9"/>
  <c r="Y494" i="9"/>
  <c r="Y493" i="9"/>
  <c r="Z493" i="9" s="1"/>
  <c r="Y492" i="9"/>
  <c r="Z492" i="9" s="1"/>
  <c r="Y491" i="9"/>
  <c r="Y490" i="9"/>
  <c r="Y489" i="9"/>
  <c r="Z489" i="9" s="1"/>
  <c r="Y488" i="9"/>
  <c r="Z488" i="9" s="1"/>
  <c r="Y487" i="9"/>
  <c r="Y486" i="9"/>
  <c r="Y485" i="9"/>
  <c r="Z485" i="9" s="1"/>
  <c r="Y484" i="9"/>
  <c r="Z484" i="9" s="1"/>
  <c r="Y483" i="9"/>
  <c r="Y482" i="9"/>
  <c r="Y481" i="9"/>
  <c r="Z481" i="9" s="1"/>
  <c r="Y480" i="9"/>
  <c r="Z480" i="9" s="1"/>
  <c r="Y479" i="9"/>
  <c r="Y478" i="9"/>
  <c r="Y477" i="9"/>
  <c r="Z477" i="9" s="1"/>
  <c r="Y476" i="9"/>
  <c r="Z476" i="9" s="1"/>
  <c r="Y475" i="9"/>
  <c r="Y474" i="9"/>
  <c r="Y473" i="9"/>
  <c r="Z473" i="9" s="1"/>
  <c r="Y472" i="9"/>
  <c r="Z472" i="9" s="1"/>
  <c r="Y471" i="9"/>
  <c r="Y470" i="9"/>
  <c r="Y469" i="9"/>
  <c r="Z469" i="9" s="1"/>
  <c r="Y468" i="9"/>
  <c r="Z468" i="9" s="1"/>
  <c r="Y467" i="9"/>
  <c r="Y466" i="9"/>
  <c r="Y465" i="9"/>
  <c r="Z465" i="9" s="1"/>
  <c r="Y464" i="9"/>
  <c r="Z464" i="9" s="1"/>
  <c r="Y463" i="9"/>
  <c r="Y462" i="9"/>
  <c r="Y461" i="9"/>
  <c r="Z461" i="9" s="1"/>
  <c r="Y460" i="9"/>
  <c r="Z460" i="9" s="1"/>
  <c r="Y459" i="9"/>
  <c r="Y458" i="9"/>
  <c r="Y457" i="9"/>
  <c r="Z457" i="9" s="1"/>
  <c r="Y456" i="9"/>
  <c r="Z456" i="9" s="1"/>
  <c r="Y455" i="9"/>
  <c r="Y454" i="9"/>
  <c r="Y453" i="9"/>
  <c r="Z453" i="9" s="1"/>
  <c r="Y452" i="9"/>
  <c r="Z452" i="9" s="1"/>
  <c r="Y451" i="9"/>
  <c r="Y450" i="9"/>
  <c r="Y449" i="9"/>
  <c r="Z449" i="9" s="1"/>
  <c r="Y448" i="9"/>
  <c r="Z448" i="9" s="1"/>
  <c r="Y447" i="9"/>
  <c r="Y446" i="9"/>
  <c r="Y445" i="9"/>
  <c r="Z445" i="9" s="1"/>
  <c r="Y444" i="9"/>
  <c r="Z444" i="9" s="1"/>
  <c r="Y443" i="9"/>
  <c r="Y442" i="9"/>
  <c r="Y441" i="9"/>
  <c r="Z441" i="9" s="1"/>
  <c r="Y440" i="9"/>
  <c r="Z440" i="9" s="1"/>
  <c r="Y439" i="9"/>
  <c r="Y438" i="9"/>
  <c r="Y437" i="9"/>
  <c r="Z437" i="9" s="1"/>
  <c r="Y436" i="9"/>
  <c r="Z436" i="9" s="1"/>
  <c r="Y435" i="9"/>
  <c r="Y434" i="9"/>
  <c r="Y433" i="9"/>
  <c r="Z433" i="9" s="1"/>
  <c r="Y432" i="9"/>
  <c r="Z432" i="9" s="1"/>
  <c r="Y431" i="9"/>
  <c r="Y430" i="9"/>
  <c r="Y429" i="9"/>
  <c r="Z429" i="9" s="1"/>
  <c r="Y428" i="9"/>
  <c r="Z428" i="9" s="1"/>
  <c r="Y427" i="9"/>
  <c r="Y426" i="9"/>
  <c r="Y425" i="9"/>
  <c r="Z425" i="9" s="1"/>
  <c r="Y424" i="9"/>
  <c r="Z424" i="9" s="1"/>
  <c r="Y423" i="9"/>
  <c r="Y422" i="9"/>
  <c r="Y421" i="9"/>
  <c r="Z421" i="9" s="1"/>
  <c r="Y420" i="9"/>
  <c r="Z420" i="9" s="1"/>
  <c r="Y419" i="9"/>
  <c r="Y418" i="9"/>
  <c r="Y417" i="9"/>
  <c r="Z417" i="9" s="1"/>
  <c r="Y416" i="9"/>
  <c r="Z416" i="9" s="1"/>
  <c r="Y415" i="9"/>
  <c r="Y414" i="9"/>
  <c r="Y413" i="9"/>
  <c r="Z413" i="9" s="1"/>
  <c r="Y412" i="9"/>
  <c r="Z412" i="9" s="1"/>
  <c r="Y411" i="9"/>
  <c r="Y410" i="9"/>
  <c r="Y409" i="9"/>
  <c r="Z409" i="9" s="1"/>
  <c r="Y408" i="9"/>
  <c r="Z408" i="9" s="1"/>
  <c r="Y407" i="9"/>
  <c r="Y406" i="9"/>
  <c r="Y405" i="9"/>
  <c r="Z405" i="9" s="1"/>
  <c r="Y404" i="9"/>
  <c r="Z404" i="9" s="1"/>
  <c r="Y403" i="9"/>
  <c r="Y402" i="9"/>
  <c r="Y401" i="9"/>
  <c r="Z401" i="9" s="1"/>
  <c r="Y400" i="9"/>
  <c r="Z400" i="9" s="1"/>
  <c r="Y399" i="9"/>
  <c r="Y398" i="9"/>
  <c r="Y397" i="9"/>
  <c r="Z397" i="9" s="1"/>
  <c r="Y396" i="9"/>
  <c r="Z396" i="9" s="1"/>
  <c r="Y395" i="9"/>
  <c r="Y394" i="9"/>
  <c r="Y393" i="9"/>
  <c r="Z393" i="9" s="1"/>
  <c r="Y392" i="9"/>
  <c r="Z392" i="9" s="1"/>
  <c r="Y391" i="9"/>
  <c r="Y390" i="9"/>
  <c r="Y389" i="9"/>
  <c r="Z389" i="9" s="1"/>
  <c r="Y388" i="9"/>
  <c r="Z388" i="9" s="1"/>
  <c r="Y387" i="9"/>
  <c r="Y386" i="9"/>
  <c r="Y385" i="9"/>
  <c r="Z385" i="9" s="1"/>
  <c r="Y384" i="9"/>
  <c r="Z384" i="9" s="1"/>
  <c r="Y383" i="9"/>
  <c r="Y382" i="9"/>
  <c r="Y381" i="9"/>
  <c r="Z381" i="9" s="1"/>
  <c r="Y380" i="9"/>
  <c r="Z380" i="9" s="1"/>
  <c r="Y379" i="9"/>
  <c r="Y378" i="9"/>
  <c r="Y377" i="9"/>
  <c r="Z377" i="9" s="1"/>
  <c r="Y376" i="9"/>
  <c r="Z376" i="9" s="1"/>
  <c r="Y375" i="9"/>
  <c r="Y374" i="9"/>
  <c r="Y373" i="9"/>
  <c r="Z373" i="9" s="1"/>
  <c r="Y372" i="9"/>
  <c r="Z372" i="9" s="1"/>
  <c r="Y371" i="9"/>
  <c r="Y370" i="9"/>
  <c r="Y369" i="9"/>
  <c r="Z369" i="9" s="1"/>
  <c r="Y368" i="9"/>
  <c r="Z368" i="9" s="1"/>
  <c r="Y367" i="9"/>
  <c r="Y366" i="9"/>
  <c r="Y365" i="9"/>
  <c r="Z365" i="9" s="1"/>
  <c r="Y364" i="9"/>
  <c r="Z364" i="9" s="1"/>
  <c r="Y363" i="9"/>
  <c r="Y362" i="9"/>
  <c r="Y361" i="9"/>
  <c r="Z361" i="9" s="1"/>
  <c r="Y360" i="9"/>
  <c r="Z360" i="9" s="1"/>
  <c r="Y359" i="9"/>
  <c r="Y358" i="9"/>
  <c r="Y357" i="9"/>
  <c r="Z357" i="9" s="1"/>
  <c r="Y356" i="9"/>
  <c r="Z356" i="9" s="1"/>
  <c r="Y355" i="9"/>
  <c r="Y354" i="9"/>
  <c r="Y353" i="9"/>
  <c r="Z353" i="9" s="1"/>
  <c r="Y352" i="9"/>
  <c r="Z352" i="9" s="1"/>
  <c r="Y351" i="9"/>
  <c r="Y350" i="9"/>
  <c r="Y349" i="9"/>
  <c r="Z349" i="9" s="1"/>
  <c r="Y348" i="9"/>
  <c r="Z348" i="9" s="1"/>
  <c r="Y347" i="9"/>
  <c r="Y346" i="9"/>
  <c r="Y345" i="9"/>
  <c r="Z345" i="9" s="1"/>
  <c r="Y344" i="9"/>
  <c r="Z344" i="9" s="1"/>
  <c r="Y343" i="9"/>
  <c r="Y342" i="9"/>
  <c r="Y341" i="9"/>
  <c r="Z341" i="9" s="1"/>
  <c r="Y340" i="9"/>
  <c r="Z340" i="9" s="1"/>
  <c r="Y339" i="9"/>
  <c r="Y338" i="9"/>
  <c r="Y337" i="9"/>
  <c r="Z337" i="9" s="1"/>
  <c r="Y336" i="9"/>
  <c r="Z336" i="9" s="1"/>
  <c r="Y335" i="9"/>
  <c r="Y334" i="9"/>
  <c r="Y333" i="9"/>
  <c r="Z333" i="9" s="1"/>
  <c r="Y332" i="9"/>
  <c r="Z332" i="9" s="1"/>
  <c r="Y331" i="9"/>
  <c r="Y330" i="9"/>
  <c r="Y329" i="9"/>
  <c r="Z329" i="9" s="1"/>
  <c r="Y328" i="9"/>
  <c r="Z328" i="9" s="1"/>
  <c r="Y327" i="9"/>
  <c r="Y326" i="9"/>
  <c r="Y325" i="9"/>
  <c r="Z325" i="9" s="1"/>
  <c r="Y324" i="9"/>
  <c r="Z324" i="9" s="1"/>
  <c r="Y323" i="9"/>
  <c r="Y322" i="9"/>
  <c r="Y321" i="9"/>
  <c r="Z321" i="9" s="1"/>
  <c r="Y320" i="9"/>
  <c r="Z320" i="9" s="1"/>
  <c r="Y319" i="9"/>
  <c r="Y318" i="9"/>
  <c r="Y317" i="9"/>
  <c r="Z317" i="9" s="1"/>
  <c r="Y316" i="9"/>
  <c r="Z316" i="9" s="1"/>
  <c r="Y315" i="9"/>
  <c r="Y314" i="9"/>
  <c r="Y313" i="9"/>
  <c r="Z313" i="9" s="1"/>
  <c r="Y312" i="9"/>
  <c r="Z312" i="9" s="1"/>
  <c r="Y311" i="9"/>
  <c r="Y310" i="9"/>
  <c r="Y309" i="9"/>
  <c r="Z309" i="9" s="1"/>
  <c r="Y308" i="9"/>
  <c r="Z308" i="9" s="1"/>
  <c r="Y307" i="9"/>
  <c r="Y306" i="9"/>
  <c r="Y305" i="9"/>
  <c r="Z305" i="9" s="1"/>
  <c r="Y304" i="9"/>
  <c r="Z304" i="9" s="1"/>
  <c r="Y303" i="9"/>
  <c r="Y302" i="9"/>
  <c r="Y301" i="9"/>
  <c r="Z301" i="9" s="1"/>
  <c r="Y300" i="9"/>
  <c r="Z300" i="9" s="1"/>
  <c r="Y299" i="9"/>
  <c r="Y298" i="9"/>
  <c r="Y297" i="9"/>
  <c r="Z297" i="9" s="1"/>
  <c r="Y296" i="9"/>
  <c r="Z296" i="9" s="1"/>
  <c r="Y295" i="9"/>
  <c r="Y294" i="9"/>
  <c r="Y293" i="9"/>
  <c r="Z293" i="9" s="1"/>
  <c r="Y292" i="9"/>
  <c r="Z292" i="9" s="1"/>
  <c r="Y291" i="9"/>
  <c r="Y290" i="9"/>
  <c r="Y289" i="9"/>
  <c r="Z289" i="9" s="1"/>
  <c r="Y288" i="9"/>
  <c r="Z288" i="9" s="1"/>
  <c r="Y287" i="9"/>
  <c r="Y286" i="9"/>
  <c r="Y285" i="9"/>
  <c r="Z285" i="9" s="1"/>
  <c r="Y284" i="9"/>
  <c r="Z284" i="9" s="1"/>
  <c r="Y283" i="9"/>
  <c r="Y282" i="9"/>
  <c r="Y281" i="9"/>
  <c r="Z281" i="9" s="1"/>
  <c r="Y280" i="9"/>
  <c r="Z280" i="9" s="1"/>
  <c r="Y279" i="9"/>
  <c r="Y278" i="9"/>
  <c r="Y277" i="9"/>
  <c r="Z277" i="9" s="1"/>
  <c r="Y276" i="9"/>
  <c r="Z276" i="9" s="1"/>
  <c r="Y275" i="9"/>
  <c r="Y274" i="9"/>
  <c r="Y273" i="9"/>
  <c r="Z273" i="9" s="1"/>
  <c r="Y272" i="9"/>
  <c r="Z272" i="9" s="1"/>
  <c r="Y271" i="9"/>
  <c r="Y270" i="9"/>
  <c r="Y269" i="9"/>
  <c r="Z269" i="9" s="1"/>
  <c r="Y268" i="9"/>
  <c r="Z268" i="9" s="1"/>
  <c r="Y267" i="9"/>
  <c r="Y266" i="9"/>
  <c r="Y265" i="9"/>
  <c r="Z265" i="9" s="1"/>
  <c r="Y264" i="9"/>
  <c r="Z264" i="9" s="1"/>
  <c r="Y263" i="9"/>
  <c r="Y262" i="9"/>
  <c r="Y261" i="9"/>
  <c r="Z261" i="9" s="1"/>
  <c r="Y260" i="9"/>
  <c r="Z260" i="9" s="1"/>
  <c r="Y259" i="9"/>
  <c r="Y258" i="9"/>
  <c r="Y257" i="9"/>
  <c r="Z257" i="9" s="1"/>
  <c r="Y256" i="9"/>
  <c r="Z256" i="9" s="1"/>
  <c r="Y255" i="9"/>
  <c r="Y254" i="9"/>
  <c r="Y253" i="9"/>
  <c r="Z253" i="9" s="1"/>
  <c r="Y252" i="9"/>
  <c r="Z252" i="9" s="1"/>
  <c r="Y251" i="9"/>
  <c r="Y250" i="9"/>
  <c r="Y249" i="9"/>
  <c r="Z249" i="9" s="1"/>
  <c r="Y248" i="9"/>
  <c r="Z248" i="9" s="1"/>
  <c r="Y247" i="9"/>
  <c r="Y246" i="9"/>
  <c r="Y245" i="9"/>
  <c r="Z245" i="9" s="1"/>
  <c r="Y244" i="9"/>
  <c r="Z244" i="9" s="1"/>
  <c r="Y243" i="9"/>
  <c r="Y242" i="9"/>
  <c r="Y241" i="9"/>
  <c r="Z241" i="9" s="1"/>
  <c r="Y240" i="9"/>
  <c r="Z240" i="9" s="1"/>
  <c r="Y239" i="9"/>
  <c r="Y238" i="9"/>
  <c r="Y237" i="9"/>
  <c r="Z237" i="9" s="1"/>
  <c r="Y236" i="9"/>
  <c r="Z236" i="9" s="1"/>
  <c r="Y235" i="9"/>
  <c r="Y234" i="9"/>
  <c r="Y233" i="9"/>
  <c r="Z233" i="9" s="1"/>
  <c r="Y232" i="9"/>
  <c r="Z232" i="9" s="1"/>
  <c r="Y231" i="9"/>
  <c r="Y230" i="9"/>
  <c r="Y229" i="9"/>
  <c r="Z229" i="9" s="1"/>
  <c r="Y228" i="9"/>
  <c r="Z228" i="9" s="1"/>
  <c r="Y227" i="9"/>
  <c r="Y226" i="9"/>
  <c r="Y225" i="9"/>
  <c r="Z225" i="9" s="1"/>
  <c r="Y224" i="9"/>
  <c r="Z224" i="9" s="1"/>
  <c r="Y223" i="9"/>
  <c r="Y222" i="9"/>
  <c r="Y221" i="9"/>
  <c r="Z221" i="9" s="1"/>
  <c r="Y220" i="9"/>
  <c r="Z220" i="9" s="1"/>
  <c r="Y219" i="9"/>
  <c r="Y218" i="9"/>
  <c r="Y217" i="9"/>
  <c r="Z217" i="9" s="1"/>
  <c r="Y216" i="9"/>
  <c r="Z216" i="9" s="1"/>
  <c r="Y215" i="9"/>
  <c r="Y214" i="9"/>
  <c r="Y213" i="9"/>
  <c r="Z213" i="9" s="1"/>
  <c r="Y212" i="9"/>
  <c r="Z212" i="9" s="1"/>
  <c r="Y211" i="9"/>
  <c r="Y210" i="9"/>
  <c r="Y209" i="9"/>
  <c r="Z209" i="9" s="1"/>
  <c r="Y208" i="9"/>
  <c r="Z208" i="9" s="1"/>
  <c r="Y207" i="9"/>
  <c r="Y206" i="9"/>
  <c r="Y205" i="9"/>
  <c r="Z205" i="9" s="1"/>
  <c r="Y204" i="9"/>
  <c r="Z204" i="9" s="1"/>
  <c r="Y203" i="9"/>
  <c r="Y202" i="9"/>
  <c r="Y201" i="9"/>
  <c r="Z201" i="9" s="1"/>
  <c r="Y200" i="9"/>
  <c r="Z200" i="9" s="1"/>
  <c r="Y199" i="9"/>
  <c r="Y198" i="9"/>
  <c r="Y197" i="9"/>
  <c r="Z197" i="9" s="1"/>
  <c r="Y196" i="9"/>
  <c r="Z196" i="9" s="1"/>
  <c r="Y195" i="9"/>
  <c r="Y194" i="9"/>
  <c r="Y193" i="9"/>
  <c r="Z193" i="9" s="1"/>
  <c r="Y192" i="9"/>
  <c r="Z192" i="9" s="1"/>
  <c r="Y191" i="9"/>
  <c r="Y190" i="9"/>
  <c r="Y189" i="9"/>
  <c r="Z189" i="9" s="1"/>
  <c r="Y188" i="9"/>
  <c r="Z188" i="9" s="1"/>
  <c r="Y187" i="9"/>
  <c r="Y186" i="9"/>
  <c r="Y185" i="9"/>
  <c r="Z185" i="9" s="1"/>
  <c r="Y184" i="9"/>
  <c r="Z184" i="9" s="1"/>
  <c r="Y183" i="9"/>
  <c r="Y182" i="9"/>
  <c r="Y181" i="9"/>
  <c r="Z181" i="9" s="1"/>
  <c r="Y180" i="9"/>
  <c r="Z180" i="9" s="1"/>
  <c r="Y179" i="9"/>
  <c r="Y178" i="9"/>
  <c r="Y177" i="9"/>
  <c r="Z177" i="9" s="1"/>
  <c r="Y176" i="9"/>
  <c r="Z176" i="9" s="1"/>
  <c r="Y175" i="9"/>
  <c r="Y174" i="9"/>
  <c r="Y173" i="9"/>
  <c r="Z173" i="9" s="1"/>
  <c r="Y172" i="9"/>
  <c r="Z172" i="9" s="1"/>
  <c r="Y171" i="9"/>
  <c r="Y170" i="9"/>
  <c r="Y169" i="9"/>
  <c r="Z169" i="9" s="1"/>
  <c r="Y168" i="9"/>
  <c r="Z168" i="9" s="1"/>
  <c r="Y167" i="9"/>
  <c r="Y166" i="9"/>
  <c r="Y165" i="9"/>
  <c r="Z165" i="9" s="1"/>
  <c r="Y164" i="9"/>
  <c r="Z164" i="9" s="1"/>
  <c r="Y163" i="9"/>
  <c r="Y162" i="9"/>
  <c r="Y161" i="9"/>
  <c r="Z161" i="9" s="1"/>
  <c r="Y160" i="9"/>
  <c r="Z160" i="9" s="1"/>
  <c r="Y159" i="9"/>
  <c r="Y158" i="9"/>
  <c r="Y157" i="9"/>
  <c r="Z157" i="9" s="1"/>
  <c r="Y156" i="9"/>
  <c r="Z156" i="9" s="1"/>
  <c r="Y155" i="9"/>
  <c r="Y154" i="9"/>
  <c r="Y153" i="9"/>
  <c r="Z153" i="9" s="1"/>
  <c r="Y152" i="9"/>
  <c r="Z152" i="9" s="1"/>
  <c r="Y151" i="9"/>
  <c r="Y150" i="9"/>
  <c r="Y149" i="9"/>
  <c r="Z149" i="9" s="1"/>
  <c r="Y148" i="9"/>
  <c r="Z148" i="9" s="1"/>
  <c r="Y147" i="9"/>
  <c r="Y146" i="9"/>
  <c r="Y145" i="9"/>
  <c r="Z145" i="9" s="1"/>
  <c r="Y144" i="9"/>
  <c r="Z144" i="9" s="1"/>
  <c r="Y143" i="9"/>
  <c r="Y142" i="9"/>
  <c r="Y141" i="9"/>
  <c r="Z141" i="9" s="1"/>
  <c r="Y140" i="9"/>
  <c r="Z140" i="9" s="1"/>
  <c r="Y139" i="9"/>
  <c r="Y138" i="9"/>
  <c r="Y137" i="9"/>
  <c r="Z137" i="9" s="1"/>
  <c r="Y136" i="9"/>
  <c r="Z136" i="9" s="1"/>
  <c r="Y135" i="9"/>
  <c r="Y134" i="9"/>
  <c r="Y133" i="9"/>
  <c r="Z133" i="9" s="1"/>
  <c r="Y132" i="9"/>
  <c r="Z132" i="9" s="1"/>
  <c r="Y131" i="9"/>
  <c r="Y130" i="9"/>
  <c r="Y129" i="9"/>
  <c r="Z129" i="9" s="1"/>
  <c r="Y128" i="9"/>
  <c r="Z128" i="9" s="1"/>
  <c r="Y127" i="9"/>
  <c r="Y126" i="9"/>
  <c r="Y125" i="9"/>
  <c r="Z125" i="9" s="1"/>
  <c r="Y124" i="9"/>
  <c r="Z124" i="9" s="1"/>
  <c r="Y123" i="9"/>
  <c r="Y122" i="9"/>
  <c r="Y121" i="9"/>
  <c r="Z121" i="9" s="1"/>
  <c r="Y120" i="9"/>
  <c r="Z120" i="9" s="1"/>
  <c r="Y119" i="9"/>
  <c r="Y118" i="9"/>
  <c r="Y117" i="9"/>
  <c r="Z117" i="9" s="1"/>
  <c r="Y116" i="9"/>
  <c r="Z116" i="9" s="1"/>
  <c r="Y115" i="9"/>
  <c r="Y114" i="9"/>
  <c r="Y113" i="9"/>
  <c r="Z113" i="9" s="1"/>
  <c r="Y112" i="9"/>
  <c r="Z112" i="9" s="1"/>
  <c r="Y111" i="9"/>
  <c r="Y110" i="9"/>
  <c r="Y109" i="9"/>
  <c r="Z109" i="9" s="1"/>
  <c r="Y108" i="9"/>
  <c r="Z108" i="9" s="1"/>
  <c r="Y107" i="9"/>
  <c r="Y106" i="9"/>
  <c r="Y105" i="9"/>
  <c r="Z105" i="9" s="1"/>
  <c r="Y104" i="9"/>
  <c r="Z104" i="9" s="1"/>
  <c r="Y103" i="9"/>
  <c r="Y102" i="9"/>
  <c r="Y101" i="9"/>
  <c r="Z101" i="9" s="1"/>
  <c r="Y100" i="9"/>
  <c r="Z100" i="9" s="1"/>
  <c r="Y99" i="9"/>
  <c r="Y98" i="9"/>
  <c r="Y97" i="9"/>
  <c r="Z97" i="9" s="1"/>
  <c r="Y96" i="9"/>
  <c r="Z96" i="9" s="1"/>
  <c r="Y95" i="9"/>
  <c r="Y94" i="9"/>
  <c r="Y93" i="9"/>
  <c r="Z93" i="9" s="1"/>
  <c r="Y92" i="9"/>
  <c r="Z92" i="9" s="1"/>
  <c r="Y91" i="9"/>
  <c r="Y90" i="9"/>
  <c r="Y89" i="9"/>
  <c r="Z89" i="9" s="1"/>
  <c r="Y88" i="9"/>
  <c r="Z88" i="9" s="1"/>
  <c r="Y87" i="9"/>
  <c r="Y86" i="9"/>
  <c r="Y85" i="9"/>
  <c r="Z85" i="9" s="1"/>
  <c r="Y84" i="9"/>
  <c r="Z84" i="9" s="1"/>
  <c r="Y83" i="9"/>
  <c r="Y82" i="9"/>
  <c r="Y81" i="9"/>
  <c r="Z81" i="9" s="1"/>
  <c r="Y80" i="9"/>
  <c r="Z80" i="9" s="1"/>
  <c r="Y79" i="9"/>
  <c r="Y78" i="9"/>
  <c r="Y77" i="9"/>
  <c r="Z77" i="9" s="1"/>
  <c r="Y76" i="9"/>
  <c r="Z76" i="9" s="1"/>
  <c r="Y75" i="9"/>
  <c r="Y74" i="9"/>
  <c r="Y73" i="9"/>
  <c r="Z73" i="9" s="1"/>
  <c r="Y72" i="9"/>
  <c r="Z72" i="9" s="1"/>
  <c r="Y71" i="9"/>
  <c r="Y70" i="9"/>
  <c r="Y69" i="9"/>
  <c r="Z69" i="9" s="1"/>
  <c r="Y68" i="9"/>
  <c r="Z68" i="9" s="1"/>
  <c r="Y67" i="9"/>
  <c r="Y66" i="9"/>
  <c r="Y65" i="9"/>
  <c r="Z65" i="9" s="1"/>
  <c r="Y64" i="9"/>
  <c r="Z64" i="9" s="1"/>
  <c r="Y63" i="9"/>
  <c r="Y62" i="9"/>
  <c r="Y61" i="9"/>
  <c r="Z61" i="9" s="1"/>
  <c r="Y60" i="9"/>
  <c r="Z60" i="9" s="1"/>
  <c r="Y59" i="9"/>
  <c r="Y58" i="9"/>
  <c r="Y57" i="9"/>
  <c r="Z57" i="9" s="1"/>
  <c r="Y56" i="9"/>
  <c r="Z56" i="9" s="1"/>
  <c r="Y55" i="9"/>
  <c r="Y54" i="9"/>
  <c r="Y53" i="9"/>
  <c r="Z53" i="9" s="1"/>
  <c r="Y52" i="9"/>
  <c r="Z52" i="9" s="1"/>
  <c r="Y51" i="9"/>
  <c r="Y50" i="9"/>
  <c r="Y49" i="9"/>
  <c r="Z49" i="9" s="1"/>
  <c r="Y48" i="9"/>
  <c r="Z48" i="9" s="1"/>
  <c r="Y47" i="9"/>
  <c r="Y46" i="9"/>
  <c r="Y45" i="9"/>
  <c r="Z45" i="9" s="1"/>
  <c r="Y44" i="9"/>
  <c r="Z44" i="9" s="1"/>
  <c r="Y43" i="9"/>
  <c r="Y42" i="9"/>
  <c r="Y41" i="9"/>
  <c r="Z41" i="9" s="1"/>
  <c r="Y40" i="9"/>
  <c r="Z40" i="9" s="1"/>
  <c r="Y39" i="9"/>
  <c r="Y38" i="9"/>
  <c r="Y37" i="9"/>
  <c r="Z37" i="9" s="1"/>
  <c r="Y36" i="9"/>
  <c r="Z36" i="9" s="1"/>
  <c r="Y35" i="9"/>
  <c r="Y34" i="9"/>
  <c r="Y33" i="9"/>
  <c r="Z33" i="9" s="1"/>
  <c r="Y32" i="9"/>
  <c r="Z32" i="9" s="1"/>
  <c r="Y31" i="9"/>
  <c r="Y30" i="9"/>
  <c r="Y29" i="9"/>
  <c r="Z29" i="9" s="1"/>
  <c r="Y28" i="9"/>
  <c r="Z28" i="9" s="1"/>
  <c r="Y27" i="9"/>
  <c r="Y26" i="9"/>
  <c r="Y25" i="9"/>
  <c r="Z25" i="9" s="1"/>
  <c r="Y24" i="9"/>
  <c r="Z24" i="9" s="1"/>
  <c r="Y23" i="9"/>
  <c r="Y22" i="9"/>
  <c r="Y21" i="9"/>
  <c r="Z21" i="9" s="1"/>
  <c r="Y20" i="9"/>
  <c r="Z20" i="9" s="1"/>
  <c r="Y19" i="9"/>
  <c r="Y18" i="9"/>
  <c r="Y17" i="9"/>
  <c r="Z17" i="9" s="1"/>
  <c r="Y16" i="9"/>
  <c r="Z16" i="9" s="1"/>
  <c r="Y15" i="9"/>
  <c r="Y14" i="9"/>
  <c r="Y13" i="9"/>
  <c r="Z13" i="9" s="1"/>
  <c r="Y12" i="9"/>
  <c r="Z12" i="9" s="1"/>
  <c r="Y11" i="9"/>
  <c r="Y10" i="9"/>
  <c r="Y9" i="9"/>
  <c r="Z9" i="9" s="1"/>
  <c r="Y8" i="9"/>
  <c r="Z8" i="9" s="1"/>
  <c r="Y7" i="9"/>
  <c r="Y6" i="9"/>
  <c r="Y5" i="9"/>
  <c r="Z5" i="9" s="1"/>
  <c r="Y4" i="9"/>
  <c r="Z4" i="9" s="1"/>
  <c r="Y3" i="9"/>
  <c r="Y2" i="9"/>
  <c r="Z699" i="9"/>
  <c r="Z698" i="9"/>
  <c r="Z695" i="9"/>
  <c r="Z694" i="9"/>
  <c r="Z693" i="9"/>
  <c r="Z691" i="9"/>
  <c r="Z690" i="9"/>
  <c r="Z687" i="9"/>
  <c r="Z683" i="9"/>
  <c r="Z682" i="9"/>
  <c r="Z679" i="9"/>
  <c r="Z678" i="9"/>
  <c r="Z677" i="9"/>
  <c r="Z675" i="9"/>
  <c r="Z674" i="9"/>
  <c r="Z671" i="9"/>
  <c r="Z667" i="9"/>
  <c r="Z666" i="9"/>
  <c r="Z663" i="9"/>
  <c r="Z662" i="9"/>
  <c r="Z661" i="9"/>
  <c r="Z659" i="9"/>
  <c r="Z658" i="9"/>
  <c r="Z655" i="9"/>
  <c r="Z651" i="9"/>
  <c r="Z650" i="9"/>
  <c r="Z647" i="9"/>
  <c r="Z646" i="9"/>
  <c r="Z643" i="9"/>
  <c r="Z642" i="9"/>
  <c r="Z639" i="9"/>
  <c r="Z635" i="9"/>
  <c r="Z634" i="9"/>
  <c r="Z631" i="9"/>
  <c r="Z630" i="9"/>
  <c r="Z627" i="9"/>
  <c r="Z626" i="9"/>
  <c r="Z623" i="9"/>
  <c r="Z619" i="9"/>
  <c r="Z618" i="9"/>
  <c r="Z615" i="9"/>
  <c r="Z614" i="9"/>
  <c r="Z611" i="9"/>
  <c r="Z610" i="9"/>
  <c r="Z607" i="9"/>
  <c r="Z603" i="9"/>
  <c r="Z602" i="9"/>
  <c r="Z599" i="9"/>
  <c r="Z598" i="9"/>
  <c r="Z595" i="9"/>
  <c r="Z594" i="9"/>
  <c r="Z591" i="9"/>
  <c r="Z590" i="9"/>
  <c r="Z587" i="9"/>
  <c r="Z586" i="9"/>
  <c r="Z583" i="9"/>
  <c r="Z582" i="9"/>
  <c r="Z581" i="9"/>
  <c r="Z579" i="9"/>
  <c r="Z578" i="9"/>
  <c r="Z575" i="9"/>
  <c r="Z574" i="9"/>
  <c r="Z571" i="9"/>
  <c r="Z570" i="9"/>
  <c r="Z567" i="9"/>
  <c r="Z566" i="9"/>
  <c r="Z563" i="9"/>
  <c r="Z562" i="9"/>
  <c r="Z559" i="9"/>
  <c r="Z558" i="9"/>
  <c r="Z555" i="9"/>
  <c r="Z554" i="9"/>
  <c r="Z551" i="9"/>
  <c r="Z550" i="9"/>
  <c r="Z547" i="9"/>
  <c r="Z546" i="9"/>
  <c r="Z543" i="9"/>
  <c r="Z542" i="9"/>
  <c r="Z539" i="9"/>
  <c r="Z538" i="9"/>
  <c r="Z535" i="9"/>
  <c r="Z534" i="9"/>
  <c r="Z531" i="9"/>
  <c r="Z530" i="9"/>
  <c r="Z529" i="9"/>
  <c r="Z527" i="9"/>
  <c r="Z526" i="9"/>
  <c r="Z523" i="9"/>
  <c r="Z522" i="9"/>
  <c r="Z519" i="9"/>
  <c r="Z518" i="9"/>
  <c r="Z515" i="9"/>
  <c r="Z514" i="9"/>
  <c r="Z511" i="9"/>
  <c r="Z510" i="9"/>
  <c r="Z507" i="9"/>
  <c r="Z506" i="9"/>
  <c r="Z503" i="9"/>
  <c r="Z502" i="9"/>
  <c r="Z499" i="9"/>
  <c r="Z498" i="9"/>
  <c r="Z495" i="9"/>
  <c r="Z494" i="9"/>
  <c r="Z491" i="9"/>
  <c r="Z490" i="9"/>
  <c r="Z487" i="9"/>
  <c r="Z486" i="9"/>
  <c r="Z483" i="9"/>
  <c r="Z482" i="9"/>
  <c r="Z479" i="9"/>
  <c r="Z478" i="9"/>
  <c r="Z475" i="9"/>
  <c r="Z474" i="9"/>
  <c r="Z471" i="9"/>
  <c r="Z470" i="9"/>
  <c r="Z467" i="9"/>
  <c r="Z466" i="9"/>
  <c r="Z463" i="9"/>
  <c r="Z462" i="9"/>
  <c r="Z459" i="9"/>
  <c r="Z458" i="9"/>
  <c r="Z455" i="9"/>
  <c r="Z454" i="9"/>
  <c r="Z451" i="9"/>
  <c r="Z450" i="9"/>
  <c r="Z447" i="9"/>
  <c r="Z446" i="9"/>
  <c r="Z443" i="9"/>
  <c r="Z442" i="9"/>
  <c r="Z439" i="9"/>
  <c r="Z438" i="9"/>
  <c r="Z435" i="9"/>
  <c r="Z434" i="9"/>
  <c r="Z431" i="9"/>
  <c r="Z430" i="9"/>
  <c r="Z427" i="9"/>
  <c r="Z426" i="9"/>
  <c r="Z423" i="9"/>
  <c r="Z422" i="9"/>
  <c r="Z419" i="9"/>
  <c r="Z418" i="9"/>
  <c r="Z415" i="9"/>
  <c r="Z414" i="9"/>
  <c r="Z411" i="9"/>
  <c r="Z410" i="9"/>
  <c r="Z407" i="9"/>
  <c r="Z406" i="9"/>
  <c r="Z403" i="9"/>
  <c r="Z402" i="9"/>
  <c r="Z399" i="9"/>
  <c r="Z398" i="9"/>
  <c r="Z395" i="9"/>
  <c r="Z394" i="9"/>
  <c r="Z391" i="9"/>
  <c r="Z390" i="9"/>
  <c r="Z387" i="9"/>
  <c r="Z386" i="9"/>
  <c r="Z383" i="9"/>
  <c r="Z382" i="9"/>
  <c r="Z379" i="9"/>
  <c r="Z378" i="9"/>
  <c r="Z375" i="9"/>
  <c r="Z374" i="9"/>
  <c r="Z371" i="9"/>
  <c r="Z370" i="9"/>
  <c r="Z367" i="9"/>
  <c r="Z366" i="9"/>
  <c r="Z363" i="9"/>
  <c r="Z362" i="9"/>
  <c r="Z359" i="9"/>
  <c r="Z358" i="9"/>
  <c r="Z355" i="9"/>
  <c r="Z354" i="9"/>
  <c r="Z351" i="9"/>
  <c r="Z350" i="9"/>
  <c r="Z347" i="9"/>
  <c r="Z346" i="9"/>
  <c r="Z343" i="9"/>
  <c r="Z342" i="9"/>
  <c r="Z339" i="9"/>
  <c r="Z338" i="9"/>
  <c r="Z335" i="9"/>
  <c r="Z334" i="9"/>
  <c r="Z331" i="9"/>
  <c r="Z330" i="9"/>
  <c r="Z327" i="9"/>
  <c r="Z326" i="9"/>
  <c r="Z323" i="9"/>
  <c r="Z322" i="9"/>
  <c r="Z319" i="9"/>
  <c r="Z318" i="9"/>
  <c r="Z315" i="9"/>
  <c r="Z314" i="9"/>
  <c r="Z311" i="9"/>
  <c r="Z310" i="9"/>
  <c r="Z307" i="9"/>
  <c r="Z306" i="9"/>
  <c r="Z303" i="9"/>
  <c r="Z302" i="9"/>
  <c r="Z299" i="9"/>
  <c r="Z298" i="9"/>
  <c r="Z295" i="9"/>
  <c r="Z294" i="9"/>
  <c r="Z291" i="9"/>
  <c r="Z290" i="9"/>
  <c r="Z287" i="9"/>
  <c r="Z286" i="9"/>
  <c r="Z283" i="9"/>
  <c r="Z282" i="9"/>
  <c r="Z279" i="9"/>
  <c r="Z278" i="9"/>
  <c r="Z275" i="9"/>
  <c r="Z274" i="9"/>
  <c r="Z271" i="9"/>
  <c r="Z270" i="9"/>
  <c r="Z267" i="9"/>
  <c r="Z266" i="9"/>
  <c r="Z263" i="9"/>
  <c r="Z262" i="9"/>
  <c r="Z259" i="9"/>
  <c r="Z258" i="9"/>
  <c r="Z255" i="9"/>
  <c r="Z254" i="9"/>
  <c r="Z251" i="9"/>
  <c r="Z250" i="9"/>
  <c r="Z247" i="9"/>
  <c r="Z246" i="9"/>
  <c r="Z243" i="9"/>
  <c r="Z242" i="9"/>
  <c r="Z239" i="9"/>
  <c r="Z238" i="9"/>
  <c r="Z235" i="9"/>
  <c r="Z234" i="9"/>
  <c r="Z231" i="9"/>
  <c r="Z230" i="9"/>
  <c r="Z227" i="9"/>
  <c r="Z226" i="9"/>
  <c r="Z223" i="9"/>
  <c r="Z222" i="9"/>
  <c r="Z219" i="9"/>
  <c r="Z218" i="9"/>
  <c r="Z215" i="9"/>
  <c r="Z214" i="9"/>
  <c r="Z211" i="9"/>
  <c r="Z210" i="9"/>
  <c r="Z207" i="9"/>
  <c r="Z206" i="9"/>
  <c r="Z203" i="9"/>
  <c r="Z202" i="9"/>
  <c r="Z199" i="9"/>
  <c r="Z198" i="9"/>
  <c r="Z195" i="9"/>
  <c r="Z194" i="9"/>
  <c r="Z191" i="9"/>
  <c r="Z190" i="9"/>
  <c r="Z187" i="9"/>
  <c r="Z186" i="9"/>
  <c r="Z183" i="9"/>
  <c r="Z182" i="9"/>
  <c r="Z179" i="9"/>
  <c r="Z178" i="9"/>
  <c r="Z175" i="9"/>
  <c r="Z174" i="9"/>
  <c r="Z171" i="9"/>
  <c r="Z170" i="9"/>
  <c r="Z167" i="9"/>
  <c r="Z166" i="9"/>
  <c r="Z163" i="9"/>
  <c r="Z162" i="9"/>
  <c r="Z159" i="9"/>
  <c r="Z158" i="9"/>
  <c r="Z155" i="9"/>
  <c r="Z154" i="9"/>
  <c r="Z151" i="9"/>
  <c r="Z150" i="9"/>
  <c r="Z147" i="9"/>
  <c r="Z146" i="9"/>
  <c r="Z143" i="9"/>
  <c r="Z142" i="9"/>
  <c r="Z139" i="9"/>
  <c r="Z138" i="9"/>
  <c r="Z135" i="9"/>
  <c r="Z134" i="9"/>
  <c r="Z131" i="9"/>
  <c r="Z130" i="9"/>
  <c r="Z127" i="9"/>
  <c r="Z126" i="9"/>
  <c r="Z123" i="9"/>
  <c r="Z122" i="9"/>
  <c r="Z119" i="9"/>
  <c r="Z118" i="9"/>
  <c r="Z115" i="9"/>
  <c r="Z114" i="9"/>
  <c r="Z111" i="9"/>
  <c r="Z110" i="9"/>
  <c r="Z107" i="9"/>
  <c r="Z106" i="9"/>
  <c r="Z103" i="9"/>
  <c r="Z102" i="9"/>
  <c r="Z99" i="9"/>
  <c r="Z98" i="9"/>
  <c r="Z95" i="9"/>
  <c r="Z94" i="9"/>
  <c r="Z91" i="9"/>
  <c r="Z90" i="9"/>
  <c r="Z87" i="9"/>
  <c r="Z86" i="9"/>
  <c r="Z83" i="9"/>
  <c r="Z82" i="9"/>
  <c r="Z79" i="9"/>
  <c r="Z78" i="9"/>
  <c r="Z75" i="9"/>
  <c r="Z74" i="9"/>
  <c r="Z71" i="9"/>
  <c r="Z70" i="9"/>
  <c r="Z67" i="9"/>
  <c r="Z66" i="9"/>
  <c r="Z63" i="9"/>
  <c r="Z62" i="9"/>
  <c r="Z59" i="9"/>
  <c r="Z58" i="9"/>
  <c r="Z55" i="9"/>
  <c r="Z54" i="9"/>
  <c r="Z51" i="9"/>
  <c r="Z50" i="9"/>
  <c r="Z47" i="9"/>
  <c r="Z46" i="9"/>
  <c r="Z43" i="9"/>
  <c r="Z42" i="9"/>
  <c r="Z39" i="9"/>
  <c r="Z38" i="9"/>
  <c r="Z35" i="9"/>
  <c r="Z34" i="9"/>
  <c r="Z31" i="9"/>
  <c r="Z30" i="9"/>
  <c r="Z27" i="9"/>
  <c r="Z26" i="9"/>
  <c r="Z23" i="9"/>
  <c r="Z22" i="9"/>
  <c r="Z19" i="9"/>
  <c r="Z18" i="9"/>
  <c r="Z15" i="9"/>
  <c r="Z14" i="9"/>
  <c r="Z11" i="9"/>
  <c r="Z10" i="9"/>
  <c r="Z7" i="9"/>
  <c r="Z6" i="9"/>
  <c r="Z3" i="9"/>
  <c r="Z2" i="9"/>
  <c r="D13" i="8" l="1"/>
  <c r="D5" i="8"/>
  <c r="D13" i="6"/>
  <c r="D12" i="6"/>
  <c r="D11" i="6"/>
  <c r="D10" i="6"/>
  <c r="D9" i="6"/>
  <c r="D8" i="6"/>
  <c r="D7" i="6"/>
  <c r="D6" i="6"/>
  <c r="D5" i="6"/>
  <c r="D4" i="6"/>
  <c r="D3" i="6"/>
  <c r="D2" i="6"/>
  <c r="D12" i="8"/>
  <c r="D11" i="8"/>
  <c r="D10" i="8"/>
  <c r="D9" i="8"/>
  <c r="D8" i="8"/>
  <c r="D7" i="8"/>
  <c r="D6" i="8"/>
  <c r="D4" i="8"/>
  <c r="D3" i="8"/>
  <c r="D2" i="8"/>
  <c r="G4" i="5" l="1"/>
  <c r="F4" i="5"/>
  <c r="E4" i="5"/>
  <c r="D4" i="5"/>
  <c r="C4" i="5"/>
  <c r="B4" i="5"/>
  <c r="H3" i="5"/>
  <c r="I3" i="5" s="1"/>
  <c r="H2" i="5"/>
  <c r="I2" i="5" s="1"/>
  <c r="H4" i="5" l="1"/>
  <c r="I4" i="5" s="1"/>
</calcChain>
</file>

<file path=xl/sharedStrings.xml><?xml version="1.0" encoding="utf-8"?>
<sst xmlns="http://schemas.openxmlformats.org/spreadsheetml/2006/main" count="4821" uniqueCount="852">
  <si>
    <t>Jan</t>
  </si>
  <si>
    <t>Feb</t>
  </si>
  <si>
    <t>Mar</t>
  </si>
  <si>
    <t>Apr</t>
  </si>
  <si>
    <t>May</t>
  </si>
  <si>
    <t>Jun</t>
  </si>
  <si>
    <t>Sales</t>
  </si>
  <si>
    <t>Overhead</t>
  </si>
  <si>
    <t>Profits</t>
  </si>
  <si>
    <t>Total</t>
  </si>
  <si>
    <t>Average</t>
  </si>
  <si>
    <t>YTD Profits</t>
  </si>
  <si>
    <t>Employee Name</t>
  </si>
  <si>
    <t>Department</t>
  </si>
  <si>
    <t>Hire Date</t>
  </si>
  <si>
    <t>Years</t>
  </si>
  <si>
    <t>Salary</t>
  </si>
  <si>
    <t>New Salary</t>
  </si>
  <si>
    <t>Page, Lisa</t>
  </si>
  <si>
    <t>ADC</t>
  </si>
  <si>
    <t>Dawson, Jonathan</t>
  </si>
  <si>
    <t>Pratt, Erik</t>
  </si>
  <si>
    <t>Training</t>
  </si>
  <si>
    <t>Wiggins, Frank</t>
  </si>
  <si>
    <t>Tanner, Timothy</t>
  </si>
  <si>
    <t>Chase, Troy</t>
  </si>
  <si>
    <t>White, Daniel</t>
  </si>
  <si>
    <t>Holland, Donald</t>
  </si>
  <si>
    <t>Marketing</t>
  </si>
  <si>
    <t>Administration</t>
  </si>
  <si>
    <t>Mon</t>
  </si>
  <si>
    <t>Tue</t>
  </si>
  <si>
    <t>Wed</t>
  </si>
  <si>
    <t>Thu</t>
  </si>
  <si>
    <t>Fri</t>
  </si>
  <si>
    <t>Revenue</t>
  </si>
  <si>
    <t>1st Quarter</t>
  </si>
  <si>
    <t>2nd Quarter</t>
  </si>
  <si>
    <t>3rd Quarter</t>
  </si>
  <si>
    <t>4th Quarter</t>
  </si>
  <si>
    <t>Domestic</t>
  </si>
  <si>
    <t>Europe</t>
  </si>
  <si>
    <t>Asia</t>
  </si>
  <si>
    <t>Latin America</t>
  </si>
  <si>
    <t>Median</t>
  </si>
  <si>
    <t>2nd Largest</t>
  </si>
  <si>
    <t>STD</t>
  </si>
  <si>
    <t>Pct Increase</t>
  </si>
  <si>
    <t xml:space="preserve"> ( )</t>
  </si>
  <si>
    <t xml:space="preserve"> ^</t>
  </si>
  <si>
    <t xml:space="preserve"> * /</t>
  </si>
  <si>
    <t xml:space="preserve"> + -</t>
  </si>
  <si>
    <t>Count number cells</t>
  </si>
  <si>
    <t>Garcia, Joe</t>
  </si>
  <si>
    <t>Chan, Eric</t>
  </si>
  <si>
    <t>Martinez, Mary</t>
  </si>
  <si>
    <t>Perez, Maria</t>
  </si>
  <si>
    <t>Pratt, Jennifer</t>
  </si>
  <si>
    <t>Chase, Leah</t>
  </si>
  <si>
    <t>Salaries</t>
  </si>
  <si>
    <t>Count cells with data</t>
  </si>
  <si>
    <t>Rank values in a list</t>
  </si>
  <si>
    <t>ID#</t>
  </si>
  <si>
    <t>Comp.</t>
  </si>
  <si>
    <t>SS#</t>
  </si>
  <si>
    <t>Phone</t>
  </si>
  <si>
    <t>Benefits</t>
  </si>
  <si>
    <t>Status</t>
  </si>
  <si>
    <t>Building</t>
  </si>
  <si>
    <t>Anderson, Terry</t>
  </si>
  <si>
    <t>D</t>
  </si>
  <si>
    <t>Full Time</t>
  </si>
  <si>
    <t>Abbott, James</t>
  </si>
  <si>
    <t>North</t>
  </si>
  <si>
    <t>Logistics</t>
  </si>
  <si>
    <t>Bailey, Victor</t>
  </si>
  <si>
    <t>M</t>
  </si>
  <si>
    <t>Half-Time</t>
  </si>
  <si>
    <t>Acosta, Robert</t>
  </si>
  <si>
    <t>West</t>
  </si>
  <si>
    <t>Quality Control</t>
  </si>
  <si>
    <t>Bishop, Juan</t>
  </si>
  <si>
    <t>DM</t>
  </si>
  <si>
    <t>Adams, David</t>
  </si>
  <si>
    <t>Watson</t>
  </si>
  <si>
    <t>Operations</t>
  </si>
  <si>
    <t>Carr, Susan</t>
  </si>
  <si>
    <t>Contract</t>
  </si>
  <si>
    <t>Adkins, Michael</t>
  </si>
  <si>
    <t>Main</t>
  </si>
  <si>
    <t>Manufacturing</t>
  </si>
  <si>
    <t>Hardy, Svetlana</t>
  </si>
  <si>
    <t>R</t>
  </si>
  <si>
    <t>Aguilar, Kevin</t>
  </si>
  <si>
    <t>Project &amp; Contract Services</t>
  </si>
  <si>
    <t>Day, David</t>
  </si>
  <si>
    <t>Admin Training</t>
  </si>
  <si>
    <t>Alexander, Charles</t>
  </si>
  <si>
    <t>Diaz, David</t>
  </si>
  <si>
    <t>DMR</t>
  </si>
  <si>
    <t>Allen, Thomas</t>
  </si>
  <si>
    <t>Taft</t>
  </si>
  <si>
    <t>Frost, Adam</t>
  </si>
  <si>
    <t>Allison, Timothy</t>
  </si>
  <si>
    <t>Process Development</t>
  </si>
  <si>
    <t>Hood, Renee</t>
  </si>
  <si>
    <t>Alvarado, Sonia</t>
  </si>
  <si>
    <t>Engineering/Maintenance</t>
  </si>
  <si>
    <t>Hoover, Evie</t>
  </si>
  <si>
    <t>Hourly</t>
  </si>
  <si>
    <t>Alvarez, Steven</t>
  </si>
  <si>
    <t>Malone, Daniel</t>
  </si>
  <si>
    <t>Anderson, Teason</t>
  </si>
  <si>
    <t>McGee, Carol</t>
  </si>
  <si>
    <t>Andrews, Diane</t>
  </si>
  <si>
    <t>Moss, Chan</t>
  </si>
  <si>
    <t>Anthony, Robert</t>
  </si>
  <si>
    <t>Noble, Michael</t>
  </si>
  <si>
    <t>Armstrong, David</t>
  </si>
  <si>
    <t>Randall, Yvonne</t>
  </si>
  <si>
    <t>Arnold, Cole</t>
  </si>
  <si>
    <t>Rodriguez, Scott</t>
  </si>
  <si>
    <t>Ashley, Michael</t>
  </si>
  <si>
    <t>Roy, Margarita</t>
  </si>
  <si>
    <t>Atkins, Kevin</t>
  </si>
  <si>
    <t>Stevens, Andrew</t>
  </si>
  <si>
    <t>Austin, William</t>
  </si>
  <si>
    <t>Sullivan, Robert</t>
  </si>
  <si>
    <t>Avila, Jody</t>
  </si>
  <si>
    <t>Pharmacokinetics</t>
  </si>
  <si>
    <t>Vega, Alexandra</t>
  </si>
  <si>
    <t>Ayala, Polly</t>
  </si>
  <si>
    <t>Engineering/Operations</t>
  </si>
  <si>
    <t>Wilkers, Claudia</t>
  </si>
  <si>
    <t>Ayers, Douglas</t>
  </si>
  <si>
    <t>Wolf, Debbie</t>
  </si>
  <si>
    <t>Baxter, Teresa</t>
  </si>
  <si>
    <t>Audit Services</t>
  </si>
  <si>
    <t>Baker, Barney</t>
  </si>
  <si>
    <t>Combs, Rick</t>
  </si>
  <si>
    <t>Baldwin, Ray</t>
  </si>
  <si>
    <t>Kerr, Mihaela</t>
  </si>
  <si>
    <t>Ball, Kirk</t>
  </si>
  <si>
    <t>O'Connor, Kent</t>
  </si>
  <si>
    <t>Ballard, Martin</t>
  </si>
  <si>
    <t>Petersen, Tim</t>
  </si>
  <si>
    <t>Banks, Ryan</t>
  </si>
  <si>
    <t>Peptide Chemistry</t>
  </si>
  <si>
    <t>Swayze, Barbara</t>
  </si>
  <si>
    <t>Barber, Robbie</t>
  </si>
  <si>
    <t>Tate, Zachary</t>
  </si>
  <si>
    <t>Barker, Heidi</t>
  </si>
  <si>
    <t>Taylor, Hector</t>
  </si>
  <si>
    <t>Barnes, Grant</t>
  </si>
  <si>
    <t>South</t>
  </si>
  <si>
    <t>Webster, David</t>
  </si>
  <si>
    <t>Barnett, Brenda</t>
  </si>
  <si>
    <t>Zimmerman, Juli</t>
  </si>
  <si>
    <t>Barr, Jennifer</t>
  </si>
  <si>
    <t>Executive Education</t>
  </si>
  <si>
    <t>Compliance</t>
  </si>
  <si>
    <t>Barrett, John</t>
  </si>
  <si>
    <t>Chang, Gabriel</t>
  </si>
  <si>
    <t>Barron, Michael</t>
  </si>
  <si>
    <t>Park, Timothy</t>
  </si>
  <si>
    <t>Bartlett, Julia</t>
  </si>
  <si>
    <t>Serrano, Al</t>
  </si>
  <si>
    <t>Barton, Barry</t>
  </si>
  <si>
    <t>Bass, Justin</t>
  </si>
  <si>
    <t>Bates, Verna</t>
  </si>
  <si>
    <t>Bennett, Chris</t>
  </si>
  <si>
    <t>Bauer, Chris</t>
  </si>
  <si>
    <t>Berry, Jacklyn</t>
  </si>
  <si>
    <t>Quality Assurance</t>
  </si>
  <si>
    <t>Blackburn, Kathy</t>
  </si>
  <si>
    <t>Bean, Deborah</t>
  </si>
  <si>
    <t>Manufacturing Admin</t>
  </si>
  <si>
    <t>Booker, Judith</t>
  </si>
  <si>
    <t>Beard, Sandi</t>
  </si>
  <si>
    <t>Boyd, Debra</t>
  </si>
  <si>
    <t>Beasley, Timothy</t>
  </si>
  <si>
    <t>Branch, Brady</t>
  </si>
  <si>
    <t>Beck, Craig</t>
  </si>
  <si>
    <t>Castro, Christopher</t>
  </si>
  <si>
    <t>Becker, Gretchen</t>
  </si>
  <si>
    <t>Clarke, Dennis</t>
  </si>
  <si>
    <t>Bell, David</t>
  </si>
  <si>
    <t>Contreras, Dean</t>
  </si>
  <si>
    <t>Cooper, Lisa</t>
  </si>
  <si>
    <t>Benson, Troy</t>
  </si>
  <si>
    <t>Environmental Health/Safety</t>
  </si>
  <si>
    <t>Copeland, Roger</t>
  </si>
  <si>
    <t>Craig, Alan</t>
  </si>
  <si>
    <t>Best, Lara</t>
  </si>
  <si>
    <t>Daniel, Robert</t>
  </si>
  <si>
    <t>Dyer, Carrie</t>
  </si>
  <si>
    <t>Black, Cliff</t>
  </si>
  <si>
    <t>Ellison, Melyssa</t>
  </si>
  <si>
    <t>Blackburn, Kathryn</t>
  </si>
  <si>
    <t>Fischer, David</t>
  </si>
  <si>
    <t>Blackwell, Brandon</t>
  </si>
  <si>
    <t>Fleming, Irv</t>
  </si>
  <si>
    <t>Blair, Sperry</t>
  </si>
  <si>
    <t>Foster, Blane</t>
  </si>
  <si>
    <t>Blake, Thomas</t>
  </si>
  <si>
    <t>Professional Training Group</t>
  </si>
  <si>
    <t>Francis, Todd</t>
  </si>
  <si>
    <t>Blankenship, Roger</t>
  </si>
  <si>
    <t>Gallegos, Rick</t>
  </si>
  <si>
    <t>Blevins, Carey</t>
  </si>
  <si>
    <t>Golden, Christine</t>
  </si>
  <si>
    <t>Bond, John</t>
  </si>
  <si>
    <t>Greene, Alexander</t>
  </si>
  <si>
    <t>Harrell, Cristin</t>
  </si>
  <si>
    <t>Boone, Eric</t>
  </si>
  <si>
    <t>Hart, Richard</t>
  </si>
  <si>
    <t>Booth, Raquel</t>
  </si>
  <si>
    <t>Johnston, Daniel</t>
  </si>
  <si>
    <t>Bowen, Kes</t>
  </si>
  <si>
    <t>Jordan, Mark</t>
  </si>
  <si>
    <t>Bowers, Tammy</t>
  </si>
  <si>
    <t>Joseph, Christopher</t>
  </si>
  <si>
    <t>Bowman, Michael</t>
  </si>
  <si>
    <t>Kent, Angus</t>
  </si>
  <si>
    <t>Boyer, John</t>
  </si>
  <si>
    <t>Leblanc, Jenny</t>
  </si>
  <si>
    <t>Bradford, Raymond</t>
  </si>
  <si>
    <t>Leonard, Paul</t>
  </si>
  <si>
    <t>Bradley, David</t>
  </si>
  <si>
    <t>McCall, Keith</t>
  </si>
  <si>
    <t>Bradshaw, Sheryl</t>
  </si>
  <si>
    <t>McDonald, Debra</t>
  </si>
  <si>
    <t>Brady, Traci</t>
  </si>
  <si>
    <t>McGuire, Rebecca</t>
  </si>
  <si>
    <t>Montoya, Lisa</t>
  </si>
  <si>
    <t>Brewer, Kent</t>
  </si>
  <si>
    <t>Morrow, Richard</t>
  </si>
  <si>
    <t>Bridges, Jeff</t>
  </si>
  <si>
    <t>Norris, Tamara</t>
  </si>
  <si>
    <t>Briggs, Bryan</t>
  </si>
  <si>
    <t>Norton, Bruce</t>
  </si>
  <si>
    <t>Brock, Ensley</t>
  </si>
  <si>
    <t>Padilla, Christopher</t>
  </si>
  <si>
    <t>Brooks, Richard</t>
  </si>
  <si>
    <t>Palmer, Terry</t>
  </si>
  <si>
    <t>Brown, Donald</t>
  </si>
  <si>
    <t>Parker, Carl</t>
  </si>
  <si>
    <t>Browning, Kathleen</t>
  </si>
  <si>
    <t>Payne, Vicky</t>
  </si>
  <si>
    <t>Bruce, Kevin</t>
  </si>
  <si>
    <t>Pope, Duane</t>
  </si>
  <si>
    <t>Bryan, Thomas</t>
  </si>
  <si>
    <t>Bryant, Douglas</t>
  </si>
  <si>
    <t>Richards, Richard</t>
  </si>
  <si>
    <t>Buchanan, Dennis</t>
  </si>
  <si>
    <t>Rodriquez, Denise</t>
  </si>
  <si>
    <t>Buckel, Patricia</t>
  </si>
  <si>
    <t>Rojas, Charles</t>
  </si>
  <si>
    <t>Bullock, Greg</t>
  </si>
  <si>
    <t>Ryan, Ryan</t>
  </si>
  <si>
    <t>Burgess, Cherie</t>
  </si>
  <si>
    <t>Silva, Stephen</t>
  </si>
  <si>
    <t>Burke, Michael</t>
  </si>
  <si>
    <t>Skinner, Jason</t>
  </si>
  <si>
    <t>Burnett, Kevin</t>
  </si>
  <si>
    <t>Villarreal, Stephen</t>
  </si>
  <si>
    <t>Burns, Fiona</t>
  </si>
  <si>
    <t>Vincent, Guy</t>
  </si>
  <si>
    <t>Burton, Cam</t>
  </si>
  <si>
    <t>Ward, Williams</t>
  </si>
  <si>
    <t>Bush, Rena</t>
  </si>
  <si>
    <t>Weiss, Marisa</t>
  </si>
  <si>
    <t>Butler, Roy</t>
  </si>
  <si>
    <t>Wheeler, Meegan</t>
  </si>
  <si>
    <t>Byrd, Asa</t>
  </si>
  <si>
    <t>Wiley, Gustavo</t>
  </si>
  <si>
    <t>Cain, Lon</t>
  </si>
  <si>
    <t>Wilkins, Jesse</t>
  </si>
  <si>
    <t>Caldwell, Pete</t>
  </si>
  <si>
    <t>William, William</t>
  </si>
  <si>
    <t>Calhoun, Dac Vinh</t>
  </si>
  <si>
    <t>Research/Development</t>
  </si>
  <si>
    <t>Callahan, Marilyn</t>
  </si>
  <si>
    <t>Camacho, Stephanie</t>
  </si>
  <si>
    <t>Dodson, David</t>
  </si>
  <si>
    <t>Cameron, John</t>
  </si>
  <si>
    <t>Garrett, Christopher</t>
  </si>
  <si>
    <t>Campbell, Michael</t>
  </si>
  <si>
    <t>McKee, Michelle</t>
  </si>
  <si>
    <t>Campos, Richard</t>
  </si>
  <si>
    <t>Morse, Michael</t>
  </si>
  <si>
    <t>Cannon, Jenny</t>
  </si>
  <si>
    <t>Owen, Robert</t>
  </si>
  <si>
    <t>Carey, Andrea</t>
  </si>
  <si>
    <t>Roman, Teri</t>
  </si>
  <si>
    <t>Carlson, Jeremy</t>
  </si>
  <si>
    <t>Carpenter, Ronald</t>
  </si>
  <si>
    <t>Daniels, Janet</t>
  </si>
  <si>
    <t>Dunn, Matthew</t>
  </si>
  <si>
    <t>Carrillo, Robert</t>
  </si>
  <si>
    <t>Fuller, Brenda</t>
  </si>
  <si>
    <t>Carroll, Lesa</t>
  </si>
  <si>
    <t>Haynes, Ernest</t>
  </si>
  <si>
    <t>Carson, Anthony</t>
  </si>
  <si>
    <t>Hutchinson, Robin</t>
  </si>
  <si>
    <t>Carter, Allan</t>
  </si>
  <si>
    <t>Perry, Christopher</t>
  </si>
  <si>
    <t>Castillo, Sheri</t>
  </si>
  <si>
    <t>Pierce, Karen</t>
  </si>
  <si>
    <t>Ramirez, Keith</t>
  </si>
  <si>
    <t>Chambers, Richard</t>
  </si>
  <si>
    <t>Chandler, Diane</t>
  </si>
  <si>
    <t>Chapman, Jessica</t>
  </si>
  <si>
    <t>Davis, Tonya</t>
  </si>
  <si>
    <t>Charles, Jeffrey</t>
  </si>
  <si>
    <t>Ferguson, John</t>
  </si>
  <si>
    <t>Gaines, Sheela</t>
  </si>
  <si>
    <t>Chavez, Thomas</t>
  </si>
  <si>
    <t>Hamilton, Theo</t>
  </si>
  <si>
    <t>Chen, Jaime</t>
  </si>
  <si>
    <t>Herring, Joanna</t>
  </si>
  <si>
    <t>Christensen, Jill</t>
  </si>
  <si>
    <t>Howard, Lisa</t>
  </si>
  <si>
    <t>Christian, Melissa</t>
  </si>
  <si>
    <t>Humphrey, Andrew</t>
  </si>
  <si>
    <t>Clark, William</t>
  </si>
  <si>
    <t>Keller, Jason</t>
  </si>
  <si>
    <t>McKenzie, Michelle</t>
  </si>
  <si>
    <t>Clay, William</t>
  </si>
  <si>
    <t>Meyers, David</t>
  </si>
  <si>
    <t>Clayton, Gregory</t>
  </si>
  <si>
    <t>Nash, Mark</t>
  </si>
  <si>
    <t>Cline, Rebecca</t>
  </si>
  <si>
    <t>Pace, Joseph</t>
  </si>
  <si>
    <t>Cobb, Nicole</t>
  </si>
  <si>
    <t>Perkins, Donald</t>
  </si>
  <si>
    <t>Cochran, Andrea</t>
  </si>
  <si>
    <t>Rivers, Douglas</t>
  </si>
  <si>
    <t>Cohen, Bruce</t>
  </si>
  <si>
    <t>Torres, Bruce</t>
  </si>
  <si>
    <t>Cole, Elbert</t>
  </si>
  <si>
    <t>Townsend, Jerry</t>
  </si>
  <si>
    <t>Coleman, Randi</t>
  </si>
  <si>
    <t>International Clinical Safety</t>
  </si>
  <si>
    <t>Collier, Dean</t>
  </si>
  <si>
    <t>Collins, Michael</t>
  </si>
  <si>
    <t>Moses, Mark</t>
  </si>
  <si>
    <t>Colon, Donnie</t>
  </si>
  <si>
    <t>Shelton, Donna</t>
  </si>
  <si>
    <t>Simon, Sheila</t>
  </si>
  <si>
    <t>Conley, Mark</t>
  </si>
  <si>
    <t>Conner, Mark</t>
  </si>
  <si>
    <t>Conway, Brett</t>
  </si>
  <si>
    <t>Cook, Mark</t>
  </si>
  <si>
    <t>Cortez, Jack</t>
  </si>
  <si>
    <t>Cox, Stephanie</t>
  </si>
  <si>
    <t>Major Mfg Projects</t>
  </si>
  <si>
    <t>Cross, Marc</t>
  </si>
  <si>
    <t>Crawford, Ronald</t>
  </si>
  <si>
    <t>Fields, Cathy</t>
  </si>
  <si>
    <t>Fisher, Maria</t>
  </si>
  <si>
    <t>Cruz, Janene</t>
  </si>
  <si>
    <t>Fitzgerald, George</t>
  </si>
  <si>
    <t>Cummings, Jose</t>
  </si>
  <si>
    <t>Garcia, Karen</t>
  </si>
  <si>
    <t>Cunningham, Denise</t>
  </si>
  <si>
    <t>Hammond, Robert</t>
  </si>
  <si>
    <t>Curtis, Patrick</t>
  </si>
  <si>
    <t>Jenkins, Scott</t>
  </si>
  <si>
    <t>Dalton, Carol</t>
  </si>
  <si>
    <t>Kemp, Holly</t>
  </si>
  <si>
    <t>Lester, Sherri</t>
  </si>
  <si>
    <t>May, Steve</t>
  </si>
  <si>
    <t>Davenport, Troy</t>
  </si>
  <si>
    <t>McCarthy, Ryan</t>
  </si>
  <si>
    <t>Davidson, Jaime</t>
  </si>
  <si>
    <t>Mendez, Max</t>
  </si>
  <si>
    <t>Mitchell, Shannon</t>
  </si>
  <si>
    <t>Morgan, Patricia</t>
  </si>
  <si>
    <t>Morrison, Julie</t>
  </si>
  <si>
    <t>Dean, Gayla</t>
  </si>
  <si>
    <t>Nichols, Nathaniel</t>
  </si>
  <si>
    <t>Decker, Amy</t>
  </si>
  <si>
    <t>Ortega, Jeffrey</t>
  </si>
  <si>
    <t>Delgado, Dale</t>
  </si>
  <si>
    <t>Owens, Dwight</t>
  </si>
  <si>
    <t>Dennis, Paul</t>
  </si>
  <si>
    <t>Phillips, Liesl</t>
  </si>
  <si>
    <t>Poole, Tracy</t>
  </si>
  <si>
    <t>Dickerson, Lincoln</t>
  </si>
  <si>
    <t>Roberts, Jackie</t>
  </si>
  <si>
    <t>Dixon, Richard</t>
  </si>
  <si>
    <t>Sanchez, Greg</t>
  </si>
  <si>
    <t>Sims, Don</t>
  </si>
  <si>
    <t>Dominguez, Duane</t>
  </si>
  <si>
    <t>Snow, Desiree</t>
  </si>
  <si>
    <t>Dorsey, Matthew</t>
  </si>
  <si>
    <t>Solomon, Michael</t>
  </si>
  <si>
    <t>Douglas, Kenneth</t>
  </si>
  <si>
    <t>Spears, Melanie</t>
  </si>
  <si>
    <t>Doyle, Leslie</t>
  </si>
  <si>
    <t>Stanley, Eric</t>
  </si>
  <si>
    <t>Dudley, James</t>
  </si>
  <si>
    <t>Thompson, John</t>
  </si>
  <si>
    <t>Duncan, George</t>
  </si>
  <si>
    <t>Vaughn, Harlon</t>
  </si>
  <si>
    <t>Duran, Brian</t>
  </si>
  <si>
    <t>Drake, Kyle</t>
  </si>
  <si>
    <t>Durham, Troy</t>
  </si>
  <si>
    <t>Gallagher, Johnson</t>
  </si>
  <si>
    <t>Gardner, Anthony</t>
  </si>
  <si>
    <t>Eaton, Cris</t>
  </si>
  <si>
    <t>Hancock, Allen</t>
  </si>
  <si>
    <t>Edwards, Phillip</t>
  </si>
  <si>
    <t>Hill, Robin</t>
  </si>
  <si>
    <t>Elliott, Anthony</t>
  </si>
  <si>
    <t>Mack, Barry</t>
  </si>
  <si>
    <t>Ellis, Brenda</t>
  </si>
  <si>
    <t>Neal, Sally</t>
  </si>
  <si>
    <t>Ellison, Melissa</t>
  </si>
  <si>
    <t>English, David</t>
  </si>
  <si>
    <t>Erickson, Ricky</t>
  </si>
  <si>
    <t>Espinoza, Derrell</t>
  </si>
  <si>
    <t>Estes, Mary</t>
  </si>
  <si>
    <t>Estrada, Joan</t>
  </si>
  <si>
    <t>Evans, Rolin</t>
  </si>
  <si>
    <t>Everett, Dan</t>
  </si>
  <si>
    <t>Farmer, Suzanne</t>
  </si>
  <si>
    <t>Fernandez, Marie</t>
  </si>
  <si>
    <t>Figueroa, Leonard</t>
  </si>
  <si>
    <t>Fletcher, Brian</t>
  </si>
  <si>
    <t>Flores, Angela</t>
  </si>
  <si>
    <t>Flowers, Kathleen</t>
  </si>
  <si>
    <t>Floyd, Eric</t>
  </si>
  <si>
    <t>Flynn, Melissa</t>
  </si>
  <si>
    <t>Foley, Peter</t>
  </si>
  <si>
    <t>Ford, Matt</t>
  </si>
  <si>
    <t>Fowler, John</t>
  </si>
  <si>
    <t>Fox, Ellen</t>
  </si>
  <si>
    <t>Frank, William</t>
  </si>
  <si>
    <t>Franklin, Alicia</t>
  </si>
  <si>
    <t>Frazier, Chris</t>
  </si>
  <si>
    <t>French, Robert</t>
  </si>
  <si>
    <t>Garner, Terry</t>
  </si>
  <si>
    <t>Garrison, Christopher</t>
  </si>
  <si>
    <t>Farrell, Laura</t>
  </si>
  <si>
    <t>Garza, Anthony</t>
  </si>
  <si>
    <t>Gates, Anne</t>
  </si>
  <si>
    <t>Gentry, John</t>
  </si>
  <si>
    <t>George, Jessica</t>
  </si>
  <si>
    <t>Gibbs, Debra</t>
  </si>
  <si>
    <t>Gibson, Janet</t>
  </si>
  <si>
    <t>Gilbert, Shannon</t>
  </si>
  <si>
    <t>Giles, Kathleen</t>
  </si>
  <si>
    <t>Gilmore, Terry</t>
  </si>
  <si>
    <t>Glass, John</t>
  </si>
  <si>
    <t>Glenn, Christopher</t>
  </si>
  <si>
    <t>Glover, Eugene</t>
  </si>
  <si>
    <t>Gonzalez, David</t>
  </si>
  <si>
    <t>Gomez, Ed</t>
  </si>
  <si>
    <t>Goodman, Kuyler</t>
  </si>
  <si>
    <t>Gonzales, David</t>
  </si>
  <si>
    <t>Graham, David</t>
  </si>
  <si>
    <t>Graves, Michael</t>
  </si>
  <si>
    <t>Gregory, Jon</t>
  </si>
  <si>
    <t>Goodwin, April</t>
  </si>
  <si>
    <t>Gross, Davin</t>
  </si>
  <si>
    <t>Gordon, Diane</t>
  </si>
  <si>
    <t>Guzman, Don</t>
  </si>
  <si>
    <t>Hanson, Dennis</t>
  </si>
  <si>
    <t>Grant, Leonard</t>
  </si>
  <si>
    <t>Hartman, Michael</t>
  </si>
  <si>
    <t>Hawkins, Douglas</t>
  </si>
  <si>
    <t>Green, Kim</t>
  </si>
  <si>
    <t>Henson, Debra</t>
  </si>
  <si>
    <t>Herman, Henrietta</t>
  </si>
  <si>
    <t>Greer, Brian</t>
  </si>
  <si>
    <t>Hess, Brian</t>
  </si>
  <si>
    <t>Griffin, Debbi</t>
  </si>
  <si>
    <t>Hines, Herb</t>
  </si>
  <si>
    <t>Grimes, Jeffrey</t>
  </si>
  <si>
    <t>Hobbs, Scott</t>
  </si>
  <si>
    <t>Hodge, Craig</t>
  </si>
  <si>
    <t>Guerra, Karen</t>
  </si>
  <si>
    <t>Holt, Robert</t>
  </si>
  <si>
    <t>Guerrero, Laura</t>
  </si>
  <si>
    <t>Hopkins, Lisa</t>
  </si>
  <si>
    <t>Gutierrez, Regina</t>
  </si>
  <si>
    <t>Horn, George</t>
  </si>
  <si>
    <t>Houston, Mark</t>
  </si>
  <si>
    <t>Hale, Deon</t>
  </si>
  <si>
    <t>Ingram, Matt</t>
  </si>
  <si>
    <t>Hall, Jenny</t>
  </si>
  <si>
    <t>Jones, John</t>
  </si>
  <si>
    <t>Kelley, Nancy</t>
  </si>
  <si>
    <t>Kennedy, Kimberly</t>
  </si>
  <si>
    <t>Knox, Lori</t>
  </si>
  <si>
    <t>Hansen, Andrew</t>
  </si>
  <si>
    <t>Landry, Linda</t>
  </si>
  <si>
    <t>Lane, Brandyn</t>
  </si>
  <si>
    <t>Hardin, Gregory</t>
  </si>
  <si>
    <t>Lawrence, Ronald</t>
  </si>
  <si>
    <t>Harding, Erin</t>
  </si>
  <si>
    <t>Lawson, Erin</t>
  </si>
  <si>
    <t>Little, Steve</t>
  </si>
  <si>
    <t>Harmon, Paul</t>
  </si>
  <si>
    <t>Long, Gary</t>
  </si>
  <si>
    <t>Harper, Cynthia</t>
  </si>
  <si>
    <t>Love, Danny</t>
  </si>
  <si>
    <t>Lucas, John</t>
  </si>
  <si>
    <t>Harrington, Aron</t>
  </si>
  <si>
    <t>Manning, John</t>
  </si>
  <si>
    <t>Harris, Brian</t>
  </si>
  <si>
    <t>Mathews, Marcia</t>
  </si>
  <si>
    <t>Harrison, Jonathan</t>
  </si>
  <si>
    <t>Maynard, Susan</t>
  </si>
  <si>
    <t>McClure, Gary</t>
  </si>
  <si>
    <t>McCormick, Hsi</t>
  </si>
  <si>
    <t>Harvey, Michael</t>
  </si>
  <si>
    <t>McCullough, Scott</t>
  </si>
  <si>
    <t>Hatfield, Carl</t>
  </si>
  <si>
    <t>Miller, Jessica</t>
  </si>
  <si>
    <t>Molina, Michael</t>
  </si>
  <si>
    <t>Hayes, Edward</t>
  </si>
  <si>
    <t>Research Center</t>
  </si>
  <si>
    <t>Montgomery, Christopher</t>
  </si>
  <si>
    <t>Moreno, Christopher</t>
  </si>
  <si>
    <t>Heath, Deborah</t>
  </si>
  <si>
    <t>Murphy, Jeff</t>
  </si>
  <si>
    <t>Henderson, Anthony</t>
  </si>
  <si>
    <t>Myers, Marc</t>
  </si>
  <si>
    <t>Henry, Craig</t>
  </si>
  <si>
    <t>Nguyen, Dennis</t>
  </si>
  <si>
    <t>Hensley, William</t>
  </si>
  <si>
    <t>Nicholson, Lee</t>
  </si>
  <si>
    <t>Norman, Rita</t>
  </si>
  <si>
    <t>Olson, Melanie</t>
  </si>
  <si>
    <t>Hernandez, Glenn</t>
  </si>
  <si>
    <t>Orr, Jennifer</t>
  </si>
  <si>
    <t>Herrera, Shawn</t>
  </si>
  <si>
    <t>Osborne, Bill</t>
  </si>
  <si>
    <t>Patton, Corey</t>
  </si>
  <si>
    <t>Paul, Michael</t>
  </si>
  <si>
    <t>Hickman, John</t>
  </si>
  <si>
    <t>Phelps, Gretchen</t>
  </si>
  <si>
    <t>Hicks, Monica</t>
  </si>
  <si>
    <t>Pitts, Dana</t>
  </si>
  <si>
    <t>Higgins, Angela</t>
  </si>
  <si>
    <t>Preston, Chris</t>
  </si>
  <si>
    <t>Reyes, Mary</t>
  </si>
  <si>
    <t>Reynolds, Barbara</t>
  </si>
  <si>
    <t>Richard, Karen</t>
  </si>
  <si>
    <t>Rios, Fredrick</t>
  </si>
  <si>
    <t>DR</t>
  </si>
  <si>
    <t>Hodges, Lisa</t>
  </si>
  <si>
    <t>Rivera, Timothy</t>
  </si>
  <si>
    <t>Hoffman, Brian D</t>
  </si>
  <si>
    <t>Roberson, Eileen</t>
  </si>
  <si>
    <t>Hogan, Daniel</t>
  </si>
  <si>
    <t>Robles, Charles</t>
  </si>
  <si>
    <t>Rodgers, Daniel</t>
  </si>
  <si>
    <t>Holloway, Christopher</t>
  </si>
  <si>
    <t>Romero, Randy</t>
  </si>
  <si>
    <t>Holmes, Tito</t>
  </si>
  <si>
    <t>Rowe, Ken</t>
  </si>
  <si>
    <t>Rush, Lateef</t>
  </si>
  <si>
    <t>Russell, Mark</t>
  </si>
  <si>
    <t>Hoover, Evangeline</t>
  </si>
  <si>
    <t>Santos, Garret</t>
  </si>
  <si>
    <t>Saunders, Corey</t>
  </si>
  <si>
    <t>Scott, Todd</t>
  </si>
  <si>
    <t>Horton, Cleatis</t>
  </si>
  <si>
    <t>Sellers, William</t>
  </si>
  <si>
    <t>House, Paul</t>
  </si>
  <si>
    <t>Sexton, John</t>
  </si>
  <si>
    <t>Sheppard, Curtis</t>
  </si>
  <si>
    <t>Small, Athanasios</t>
  </si>
  <si>
    <t>Howell, Douglas</t>
  </si>
  <si>
    <t>Stewart, Elizabeth</t>
  </si>
  <si>
    <t>Hubbard, Sandra</t>
  </si>
  <si>
    <t>Strickland, Rajean</t>
  </si>
  <si>
    <t>Hudson, Lorna</t>
  </si>
  <si>
    <t>Huff, Erik</t>
  </si>
  <si>
    <t>Todd, Steven</t>
  </si>
  <si>
    <t>Huffman, Ignacio</t>
  </si>
  <si>
    <t>Tran, Chad</t>
  </si>
  <si>
    <t>Hughes, Kevin</t>
  </si>
  <si>
    <t>Trevino, Gary</t>
  </si>
  <si>
    <t>Hull, Jeanne</t>
  </si>
  <si>
    <t>Tucker, James</t>
  </si>
  <si>
    <t>Hunt, Norman</t>
  </si>
  <si>
    <t>Tyler, Javier</t>
  </si>
  <si>
    <t>Hunter, Lisa</t>
  </si>
  <si>
    <t>Vargas, Bryant</t>
  </si>
  <si>
    <t>Hurst, Thomas</t>
  </si>
  <si>
    <t>Vasquez, Michael</t>
  </si>
  <si>
    <t>Wall, John</t>
  </si>
  <si>
    <t>Wallace, Timothy</t>
  </si>
  <si>
    <t>Jackson, Eric</t>
  </si>
  <si>
    <t>Walter, Michael</t>
  </si>
  <si>
    <t>Jacobs, Florianne</t>
  </si>
  <si>
    <t>Washington, Phillip</t>
  </si>
  <si>
    <t>James, Lynn</t>
  </si>
  <si>
    <t>Watts, Curtis</t>
  </si>
  <si>
    <t>Jefferson, Elaine</t>
  </si>
  <si>
    <t>Weaver, Eric</t>
  </si>
  <si>
    <t>Webb, Jim</t>
  </si>
  <si>
    <t>Jennings, Gary</t>
  </si>
  <si>
    <t>Welch, Michael</t>
  </si>
  <si>
    <t>Jensen, Kristina</t>
  </si>
  <si>
    <t>West, Jeffrey</t>
  </si>
  <si>
    <t>Jimenez, Dominic</t>
  </si>
  <si>
    <t>Johns, Chad</t>
  </si>
  <si>
    <t>Williams, Scott</t>
  </si>
  <si>
    <t>Johnson, Mary Jo</t>
  </si>
  <si>
    <t>Wood, Larry</t>
  </si>
  <si>
    <t>Woodward, Timothy</t>
  </si>
  <si>
    <t>Yates, Doug</t>
  </si>
  <si>
    <t>Juarez, Neill</t>
  </si>
  <si>
    <t>Keith, Thomas</t>
  </si>
  <si>
    <t>Livingston, Lynette</t>
  </si>
  <si>
    <t>Pacheco, Therese</t>
  </si>
  <si>
    <t>Porter, Rachel</t>
  </si>
  <si>
    <t>Kelly, Icelita</t>
  </si>
  <si>
    <t>Reeves, Greg</t>
  </si>
  <si>
    <t>Kim, Deborah</t>
  </si>
  <si>
    <t>King, Taslim</t>
  </si>
  <si>
    <t>Kirk, Chris</t>
  </si>
  <si>
    <t>Knight, Denise</t>
  </si>
  <si>
    <t>Coleman, Roque</t>
  </si>
  <si>
    <t>Koch, Danielle</t>
  </si>
  <si>
    <t>Kramer, Faye</t>
  </si>
  <si>
    <t>Lamb, John</t>
  </si>
  <si>
    <t>Lambert, Jody</t>
  </si>
  <si>
    <t>Lang, Dana</t>
  </si>
  <si>
    <t>Larsen, Lara</t>
  </si>
  <si>
    <t>Larson, David</t>
  </si>
  <si>
    <t>Leach, Jingwen</t>
  </si>
  <si>
    <t>Lee, Charles</t>
  </si>
  <si>
    <t>Leon, Emily</t>
  </si>
  <si>
    <t>Kirby, Michael</t>
  </si>
  <si>
    <t>Lewis, Frederick</t>
  </si>
  <si>
    <t>Lindsey, Deborah</t>
  </si>
  <si>
    <t>Lowe, Michelle</t>
  </si>
  <si>
    <t>Marquez, Thomas</t>
  </si>
  <si>
    <t>Marsh, Cynthia</t>
  </si>
  <si>
    <t>Lloyd, John</t>
  </si>
  <si>
    <t>Matthews, Diane</t>
  </si>
  <si>
    <t>Logan, Karen</t>
  </si>
  <si>
    <t>McCoy, Preston</t>
  </si>
  <si>
    <t>McKinney, Christofer</t>
  </si>
  <si>
    <t>Lopez, Stephen</t>
  </si>
  <si>
    <t>Mercado, David</t>
  </si>
  <si>
    <t>Middleton, Jen</t>
  </si>
  <si>
    <t>Morales, Linda</t>
  </si>
  <si>
    <t>Lowery, Charles</t>
  </si>
  <si>
    <t>Munoz, Michael</t>
  </si>
  <si>
    <t>Parrish, Debra</t>
  </si>
  <si>
    <t>Luna, Rodney</t>
  </si>
  <si>
    <t>Potter, Dawn</t>
  </si>
  <si>
    <t>Lynch, Scott</t>
  </si>
  <si>
    <t>Rich, Brent</t>
  </si>
  <si>
    <t>Lyons, Brian</t>
  </si>
  <si>
    <t>Rogers, Colleen</t>
  </si>
  <si>
    <t>Ross, Janice</t>
  </si>
  <si>
    <t>Maldonado, Robert</t>
  </si>
  <si>
    <t>Roth, Tony</t>
  </si>
  <si>
    <t>Savage, John</t>
  </si>
  <si>
    <t>Mann, Lowell</t>
  </si>
  <si>
    <t>Schroeder, Bennet</t>
  </si>
  <si>
    <t>Sharp, Janine</t>
  </si>
  <si>
    <t>Marks, LaReina</t>
  </si>
  <si>
    <t>Soto, Christopher</t>
  </si>
  <si>
    <t>Stephenson, Matthew</t>
  </si>
  <si>
    <t>Stone, Brian</t>
  </si>
  <si>
    <t>Marshall, Anita</t>
  </si>
  <si>
    <t>Trujillo, Shawn</t>
  </si>
  <si>
    <t>Martin, Terry</t>
  </si>
  <si>
    <t>Valdez, Ann</t>
  </si>
  <si>
    <t>Martinez, Kathleen</t>
  </si>
  <si>
    <t>Wells, Carlos</t>
  </si>
  <si>
    <t>Mason, Suzanne</t>
  </si>
  <si>
    <t>Massey, Mark</t>
  </si>
  <si>
    <t>Wilson, Jessica</t>
  </si>
  <si>
    <t>Mathis, Shari</t>
  </si>
  <si>
    <t>Maxwell, Jill</t>
  </si>
  <si>
    <t>McBride, Grazyna</t>
  </si>
  <si>
    <t>McClain, Steven</t>
  </si>
  <si>
    <t>McConnell, Justin</t>
  </si>
  <si>
    <t>Lara, Mark</t>
  </si>
  <si>
    <t>McDaniel, Tamara</t>
  </si>
  <si>
    <t>McDowell, Scott</t>
  </si>
  <si>
    <t>Richardson, Deborah</t>
  </si>
  <si>
    <t>Smith, Koleen</t>
  </si>
  <si>
    <t>McIntosh, Jeremy</t>
  </si>
  <si>
    <t>Summers, Harold</t>
  </si>
  <si>
    <t>Swanson, Vicki</t>
  </si>
  <si>
    <t>Wade, Kevin</t>
  </si>
  <si>
    <t>Walls, Brian</t>
  </si>
  <si>
    <t>McLaughlin, Edward</t>
  </si>
  <si>
    <t>Weber, Larry</t>
  </si>
  <si>
    <t>McLean, Richard</t>
  </si>
  <si>
    <t>Medina, Warren</t>
  </si>
  <si>
    <t>Monroe, Justin</t>
  </si>
  <si>
    <t>Melton, Scott</t>
  </si>
  <si>
    <t>Patrick, Wendy</t>
  </si>
  <si>
    <t>Winters, Shaun</t>
  </si>
  <si>
    <t>Merritt, Kevin</t>
  </si>
  <si>
    <t>Meyer, Charles</t>
  </si>
  <si>
    <t>Miles, Kenneth</t>
  </si>
  <si>
    <t>Mills, Melissa</t>
  </si>
  <si>
    <t>Miranda, Elena</t>
  </si>
  <si>
    <t>Freeman, Dennis</t>
  </si>
  <si>
    <t>Moody, Matthew</t>
  </si>
  <si>
    <t>Moore, Robert</t>
  </si>
  <si>
    <t>Moran, Carol</t>
  </si>
  <si>
    <t>Morris, Richelle</t>
  </si>
  <si>
    <t>Klein, Robert</t>
  </si>
  <si>
    <t>Morton, Brian</t>
  </si>
  <si>
    <t>Mosley, Michael</t>
  </si>
  <si>
    <t>Mueller, Philip</t>
  </si>
  <si>
    <t>Murray, Rebecca</t>
  </si>
  <si>
    <t>Mullins, Angela</t>
  </si>
  <si>
    <t>Navarro, Marc</t>
  </si>
  <si>
    <t>Newton, Leigh</t>
  </si>
  <si>
    <t>Nixon, Randy</t>
  </si>
  <si>
    <t>Pearson, Cassy</t>
  </si>
  <si>
    <t>Price, Diana</t>
  </si>
  <si>
    <t>Rice, Diane</t>
  </si>
  <si>
    <t>Nelson, Shira</t>
  </si>
  <si>
    <t>Robbins, Suzanne</t>
  </si>
  <si>
    <t>Newman, Aria</t>
  </si>
  <si>
    <t>Robinson, John</t>
  </si>
  <si>
    <t>Rose, Mark</t>
  </si>
  <si>
    <t>Salinas, Jon</t>
  </si>
  <si>
    <t>Short, Timothy</t>
  </si>
  <si>
    <t>Sparks, Terri</t>
  </si>
  <si>
    <t>Stephens, Bonnie</t>
  </si>
  <si>
    <t>Stokes, Jonathan</t>
  </si>
  <si>
    <t>Underwood, Todd</t>
  </si>
  <si>
    <t>Wyatt, Kelly</t>
  </si>
  <si>
    <t>Nunez, Benning</t>
  </si>
  <si>
    <t>O'Brien, Madelyn</t>
  </si>
  <si>
    <t>Oliver, Francisco</t>
  </si>
  <si>
    <t>Olsen, Ewan</t>
  </si>
  <si>
    <t>O'Neal, William</t>
  </si>
  <si>
    <t>Ortiz, Cynthia</t>
  </si>
  <si>
    <t>Pena, Erik</t>
  </si>
  <si>
    <t>Pruitt, Randy</t>
  </si>
  <si>
    <t>Salazar, Ruben</t>
  </si>
  <si>
    <t>Sherman, Karin</t>
  </si>
  <si>
    <t>Stevenson, Michael</t>
  </si>
  <si>
    <t>Watson, Christian</t>
  </si>
  <si>
    <t>Parks, Christopher</t>
  </si>
  <si>
    <t>Parsons, Phillip</t>
  </si>
  <si>
    <t>Patel, Donald</t>
  </si>
  <si>
    <t>Patterson, Robert</t>
  </si>
  <si>
    <t>Pennington, Gary</t>
  </si>
  <si>
    <t>Perez, Kim</t>
  </si>
  <si>
    <t>Peters, Robert</t>
  </si>
  <si>
    <t>Curry, Hunyen</t>
  </si>
  <si>
    <t>Peterson, Shaun</t>
  </si>
  <si>
    <t>Deleon, Jaquelyn</t>
  </si>
  <si>
    <t>Pittman, Bacardi</t>
  </si>
  <si>
    <t>Powell, Juli</t>
  </si>
  <si>
    <t>Powers, Tia</t>
  </si>
  <si>
    <t>Gill, Douglas</t>
  </si>
  <si>
    <t>Prince, Robert</t>
  </si>
  <si>
    <t>Gray, Mark</t>
  </si>
  <si>
    <t>Pugh, Lawrence</t>
  </si>
  <si>
    <t>Quinn, Cinnamon</t>
  </si>
  <si>
    <t>Ramos, Jan</t>
  </si>
  <si>
    <t>Ramsey, Nathaniel</t>
  </si>
  <si>
    <t>Randolph, Kristin</t>
  </si>
  <si>
    <t>Ray, ReAnnon</t>
  </si>
  <si>
    <t>Reed, Larry</t>
  </si>
  <si>
    <t>Reese, Marc</t>
  </si>
  <si>
    <t>Reid, Elizabeth</t>
  </si>
  <si>
    <t>Rhodes, Brenda</t>
  </si>
  <si>
    <t>Riley, David</t>
  </si>
  <si>
    <t>Robertson, Nathan</t>
  </si>
  <si>
    <t>Obrien, Madelyn</t>
  </si>
  <si>
    <t>Ruiz, Randall</t>
  </si>
  <si>
    <t>Sandoval, James</t>
  </si>
  <si>
    <t>Santiago, Michael</t>
  </si>
  <si>
    <t>Schultz, Norman</t>
  </si>
  <si>
    <t>Spencer, Boyd</t>
  </si>
  <si>
    <t>Strong, Lisa</t>
  </si>
  <si>
    <t>Terry, Karin</t>
  </si>
  <si>
    <t>Vazquez, Kenneth</t>
  </si>
  <si>
    <t>Warren, Jean</t>
  </si>
  <si>
    <t>Wilkinson, Gregory</t>
  </si>
  <si>
    <t>Wise, Ted</t>
  </si>
  <si>
    <t>Sanders, Troy</t>
  </si>
  <si>
    <t>Wolfe, Keith</t>
  </si>
  <si>
    <t>Wong, Dennis</t>
  </si>
  <si>
    <t>Woodard, Charles</t>
  </si>
  <si>
    <t>Young, Benjamin</t>
  </si>
  <si>
    <t>Sawyer, Catherine</t>
  </si>
  <si>
    <t>Schmidt, Michael</t>
  </si>
  <si>
    <t>Schneider, Gay</t>
  </si>
  <si>
    <t>Schwartz, Joseph</t>
  </si>
  <si>
    <t>Shaffer, Nobuko</t>
  </si>
  <si>
    <t>Shannon, Kevin</t>
  </si>
  <si>
    <t>Casey, Ronald</t>
  </si>
  <si>
    <t>Shaw, Pat</t>
  </si>
  <si>
    <t>Shepherd, Annie</t>
  </si>
  <si>
    <t>Shields, Robert</t>
  </si>
  <si>
    <t>Simmons, Robert</t>
  </si>
  <si>
    <t>Simpson, Jimmy</t>
  </si>
  <si>
    <t>Griffith, Michelle</t>
  </si>
  <si>
    <t>Singleton, David</t>
  </si>
  <si>
    <t>Sloan, Cindy</t>
  </si>
  <si>
    <t>Snyder, Duane</t>
  </si>
  <si>
    <t>Solis, Daniel</t>
  </si>
  <si>
    <t>Stafford, Rhonda</t>
  </si>
  <si>
    <t>Mendoza, Bobby</t>
  </si>
  <si>
    <t>Oneal, William</t>
  </si>
  <si>
    <t>Sutton, Matthew</t>
  </si>
  <si>
    <t>Sweeney, Barbara</t>
  </si>
  <si>
    <t>Thomas, Shannon</t>
  </si>
  <si>
    <t>Thornton, Charles</t>
  </si>
  <si>
    <t>Vance, Cheryl</t>
  </si>
  <si>
    <t>Velez, Letitia</t>
  </si>
  <si>
    <t>Walsh, Matthew</t>
  </si>
  <si>
    <t>Ware, David</t>
  </si>
  <si>
    <t>Warner, Stephen</t>
  </si>
  <si>
    <t>Waters, Alfred</t>
  </si>
  <si>
    <t>Whitaker, Jessica</t>
  </si>
  <si>
    <t>Whitehead, Carolyn</t>
  </si>
  <si>
    <t>Wilcox, Robert</t>
  </si>
  <si>
    <t>Willis, Ralph</t>
  </si>
  <si>
    <t>Wright, Brad</t>
  </si>
  <si>
    <t>York, Steven</t>
  </si>
  <si>
    <t>Velasquez, Clint</t>
  </si>
  <si>
    <t>Wagner, Lynne</t>
  </si>
  <si>
    <t>Walker, Mike</t>
  </si>
  <si>
    <t>Walters, Ann</t>
  </si>
  <si>
    <t>Walton, Benjamin</t>
  </si>
  <si>
    <t>Watkins, Gary</t>
  </si>
  <si>
    <t>Finley, James</t>
  </si>
  <si>
    <t>Weeks, Troy</t>
  </si>
  <si>
    <t>Hampton, Catherine</t>
  </si>
  <si>
    <t>Wilkerson, Claudia</t>
  </si>
  <si>
    <t>Woods, Marcus</t>
  </si>
  <si>
    <t>Zimmerman, Julian</t>
  </si>
  <si>
    <t>Turner, Ray</t>
  </si>
  <si>
    <t>Williamson, Sumedha</t>
  </si>
  <si>
    <t>Steele, Gerald</t>
  </si>
  <si>
    <t>Gomez, Robert</t>
  </si>
  <si>
    <t xml:space="preserve">  ( ) ^ * / + - </t>
  </si>
  <si>
    <t>Sales &amp; Profit Commission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</si>
</sst>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;\(0.0%\)"/>
    <numFmt numFmtId="167" formatCode="000\-00\-0000"/>
    <numFmt numFmtId="168" formatCode="[&lt;=9999999]###\-####;\(###\)\ ###\-####"/>
    <numFmt numFmtId="169" formatCode="0.0%"/>
    <numFmt numFmtId="173" formatCode="_(&quot;$&quot;* #,##0_);_(&quot;$&quot;* \(#,##0\);_(&quot;$&quot;* &quot;-&quot;??_);_(@_)"/>
    <numFmt numFmtId="17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3" fillId="2" borderId="1" xfId="2" applyFont="1" applyFill="1" applyBorder="1" applyAlignment="1" applyProtection="1">
      <alignment horizontal="left" vertical="top"/>
      <protection locked="0"/>
    </xf>
    <xf numFmtId="0" fontId="3" fillId="2" borderId="1" xfId="2" applyFont="1" applyFill="1" applyBorder="1" applyAlignment="1" applyProtection="1">
      <alignment vertical="top"/>
      <protection locked="0"/>
    </xf>
    <xf numFmtId="15" fontId="3" fillId="2" borderId="1" xfId="2" applyNumberFormat="1" applyFont="1" applyFill="1" applyBorder="1" applyAlignment="1" applyProtection="1">
      <alignment horizontal="right" vertical="top"/>
      <protection locked="0"/>
    </xf>
    <xf numFmtId="0" fontId="3" fillId="2" borderId="1" xfId="2" applyFont="1" applyFill="1" applyBorder="1" applyAlignment="1">
      <alignment horizontal="right" vertical="top"/>
    </xf>
    <xf numFmtId="164" fontId="3" fillId="2" borderId="1" xfId="3" applyNumberFormat="1" applyFont="1" applyFill="1" applyBorder="1" applyAlignment="1" applyProtection="1">
      <alignment vertical="top"/>
      <protection locked="0"/>
    </xf>
    <xf numFmtId="43" fontId="3" fillId="2" borderId="1" xfId="3" applyFont="1" applyFill="1" applyBorder="1" applyAlignment="1" applyProtection="1">
      <alignment horizontal="right" vertical="top"/>
    </xf>
    <xf numFmtId="0" fontId="4" fillId="0" borderId="0" xfId="2" applyFont="1" applyProtection="1">
      <protection locked="0"/>
    </xf>
    <xf numFmtId="15" fontId="4" fillId="0" borderId="0" xfId="2" applyNumberFormat="1" applyFont="1" applyProtection="1">
      <protection locked="0"/>
    </xf>
    <xf numFmtId="164" fontId="4" fillId="0" borderId="0" xfId="3" applyNumberFormat="1" applyFont="1" applyFill="1" applyProtection="1"/>
    <xf numFmtId="164" fontId="4" fillId="0" borderId="0" xfId="3" applyNumberFormat="1" applyFont="1" applyFill="1" applyAlignment="1" applyProtection="1">
      <protection locked="0"/>
    </xf>
    <xf numFmtId="43" fontId="4" fillId="0" borderId="0" xfId="3" applyFont="1" applyFill="1" applyProtection="1">
      <protection locked="0"/>
    </xf>
    <xf numFmtId="9" fontId="4" fillId="0" borderId="0" xfId="4" applyFont="1" applyProtection="1">
      <protection locked="0"/>
    </xf>
    <xf numFmtId="166" fontId="3" fillId="0" borderId="0" xfId="4" applyNumberFormat="1" applyFont="1" applyFill="1" applyBorder="1" applyAlignment="1" applyProtection="1">
      <alignment vertical="top" wrapText="1"/>
      <protection locked="0"/>
    </xf>
    <xf numFmtId="0" fontId="0" fillId="0" borderId="0" xfId="1" applyNumberFormat="1" applyFont="1"/>
    <xf numFmtId="0" fontId="0" fillId="0" borderId="0" xfId="6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64" fontId="5" fillId="0" borderId="0" xfId="0" applyNumberFormat="1" applyFont="1"/>
    <xf numFmtId="164" fontId="5" fillId="0" borderId="0" xfId="3" applyNumberFormat="1" applyFont="1"/>
    <xf numFmtId="0" fontId="3" fillId="2" borderId="1" xfId="2" applyFont="1" applyFill="1" applyBorder="1" applyAlignment="1">
      <alignment horizontal="left" vertical="top"/>
    </xf>
    <xf numFmtId="0" fontId="3" fillId="2" borderId="1" xfId="2" applyFont="1" applyFill="1" applyBorder="1" applyAlignment="1">
      <alignment vertical="top"/>
    </xf>
    <xf numFmtId="164" fontId="3" fillId="2" borderId="1" xfId="3" applyNumberFormat="1" applyFont="1" applyFill="1" applyBorder="1" applyAlignment="1" applyProtection="1">
      <alignment vertical="top"/>
    </xf>
    <xf numFmtId="166" fontId="3" fillId="0" borderId="0" xfId="4" applyNumberFormat="1" applyFont="1" applyFill="1" applyBorder="1" applyAlignment="1" applyProtection="1">
      <alignment vertical="top" wrapText="1"/>
    </xf>
    <xf numFmtId="0" fontId="4" fillId="0" borderId="0" xfId="2" applyFont="1"/>
    <xf numFmtId="164" fontId="4" fillId="0" borderId="0" xfId="3" applyNumberFormat="1" applyFont="1" applyFill="1" applyAlignment="1" applyProtection="1"/>
    <xf numFmtId="0" fontId="4" fillId="0" borderId="0" xfId="4" applyNumberFormat="1" applyFont="1" applyProtection="1"/>
    <xf numFmtId="164" fontId="0" fillId="0" borderId="0" xfId="0" applyNumberFormat="1"/>
    <xf numFmtId="165" fontId="0" fillId="0" borderId="0" xfId="5" applyNumberFormat="1" applyFont="1" applyProtection="1"/>
    <xf numFmtId="14" fontId="3" fillId="2" borderId="1" xfId="2" applyNumberFormat="1" applyFont="1" applyFill="1" applyBorder="1" applyAlignment="1">
      <alignment horizontal="right" vertical="top"/>
    </xf>
    <xf numFmtId="14" fontId="0" fillId="0" borderId="0" xfId="0" applyNumberFormat="1"/>
    <xf numFmtId="14" fontId="4" fillId="0" borderId="0" xfId="2" applyNumberFormat="1" applyFont="1"/>
    <xf numFmtId="164" fontId="3" fillId="2" borderId="1" xfId="3" applyNumberFormat="1" applyFont="1" applyFill="1" applyBorder="1" applyAlignment="1" applyProtection="1">
      <alignment horizontal="right" vertical="top"/>
    </xf>
    <xf numFmtId="3" fontId="4" fillId="0" borderId="0" xfId="3" applyNumberFormat="1" applyFont="1" applyFill="1" applyAlignment="1" applyProtection="1"/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horizontal="center" vertical="top"/>
    </xf>
    <xf numFmtId="3" fontId="6" fillId="2" borderId="1" xfId="3" applyNumberFormat="1" applyFont="1" applyFill="1" applyBorder="1" applyAlignment="1">
      <alignment horizontal="right" vertical="top"/>
    </xf>
    <xf numFmtId="167" fontId="3" fillId="2" borderId="1" xfId="7" applyNumberFormat="1" applyFont="1" applyFill="1" applyBorder="1" applyAlignment="1">
      <alignment horizontal="center" vertical="top"/>
    </xf>
    <xf numFmtId="168" fontId="3" fillId="2" borderId="1" xfId="7" applyNumberFormat="1" applyFont="1" applyFill="1" applyBorder="1" applyAlignment="1">
      <alignment horizontal="center" vertical="top"/>
    </xf>
    <xf numFmtId="0" fontId="3" fillId="2" borderId="1" xfId="7" applyFont="1" applyFill="1" applyBorder="1" applyAlignment="1">
      <alignment vertical="top"/>
    </xf>
    <xf numFmtId="3" fontId="3" fillId="2" borderId="1" xfId="7" applyNumberFormat="1" applyFont="1" applyFill="1" applyBorder="1" applyAlignment="1">
      <alignment horizontal="right" vertical="top"/>
    </xf>
    <xf numFmtId="164" fontId="4" fillId="0" borderId="0" xfId="8" applyNumberFormat="1" applyFont="1"/>
    <xf numFmtId="0" fontId="1" fillId="0" borderId="0" xfId="7" applyFont="1"/>
    <xf numFmtId="167" fontId="3" fillId="3" borderId="1" xfId="7" applyNumberFormat="1" applyFont="1" applyFill="1" applyBorder="1" applyAlignment="1">
      <alignment horizontal="center" vertical="top"/>
    </xf>
    <xf numFmtId="0" fontId="3" fillId="3" borderId="1" xfId="7" applyFont="1" applyFill="1" applyBorder="1" applyAlignment="1">
      <alignment horizontal="left" vertical="top"/>
    </xf>
    <xf numFmtId="0" fontId="3" fillId="3" borderId="1" xfId="7" applyFont="1" applyFill="1" applyBorder="1" applyAlignment="1">
      <alignment horizontal="center" vertical="top"/>
    </xf>
    <xf numFmtId="0" fontId="3" fillId="3" borderId="1" xfId="7" applyFont="1" applyFill="1" applyBorder="1" applyAlignment="1">
      <alignment vertical="top"/>
    </xf>
    <xf numFmtId="14" fontId="3" fillId="3" borderId="1" xfId="7" applyNumberFormat="1" applyFont="1" applyFill="1" applyBorder="1" applyAlignment="1">
      <alignment horizontal="right" vertical="top"/>
    </xf>
    <xf numFmtId="0" fontId="3" fillId="3" borderId="1" xfId="7" applyFont="1" applyFill="1" applyBorder="1" applyAlignment="1">
      <alignment horizontal="right" vertical="top"/>
    </xf>
    <xf numFmtId="0" fontId="5" fillId="0" borderId="0" xfId="2" applyFont="1"/>
    <xf numFmtId="0" fontId="5" fillId="0" borderId="0" xfId="2" applyFont="1" applyAlignment="1">
      <alignment horizontal="right"/>
    </xf>
    <xf numFmtId="3" fontId="5" fillId="0" borderId="0" xfId="2" applyNumberFormat="1" applyFont="1"/>
    <xf numFmtId="167" fontId="4" fillId="0" borderId="0" xfId="8" applyNumberFormat="1" applyFont="1" applyAlignment="1">
      <alignment horizontal="center"/>
    </xf>
    <xf numFmtId="168" fontId="4" fillId="0" borderId="0" xfId="7" applyNumberFormat="1" applyFont="1" applyAlignment="1">
      <alignment horizontal="right"/>
    </xf>
    <xf numFmtId="3" fontId="4" fillId="0" borderId="0" xfId="8" applyNumberFormat="1" applyFont="1"/>
    <xf numFmtId="0" fontId="4" fillId="0" borderId="0" xfId="7" applyFont="1"/>
    <xf numFmtId="167" fontId="4" fillId="0" borderId="0" xfId="7" applyNumberFormat="1" applyFont="1" applyAlignment="1">
      <alignment horizontal="right"/>
    </xf>
    <xf numFmtId="0" fontId="4" fillId="0" borderId="0" xfId="7" applyFont="1" applyAlignment="1" applyProtection="1">
      <alignment horizontal="center"/>
      <protection locked="0"/>
    </xf>
    <xf numFmtId="14" fontId="4" fillId="0" borderId="0" xfId="8" applyNumberFormat="1" applyFont="1"/>
    <xf numFmtId="167" fontId="4" fillId="0" borderId="0" xfId="7" applyNumberFormat="1" applyFont="1" applyAlignment="1">
      <alignment horizontal="center"/>
    </xf>
    <xf numFmtId="3" fontId="5" fillId="0" borderId="0" xfId="3" applyNumberFormat="1" applyFont="1"/>
    <xf numFmtId="0" fontId="6" fillId="4" borderId="1" xfId="2" applyFont="1" applyFill="1" applyBorder="1" applyAlignment="1">
      <alignment horizontal="center" vertical="top"/>
    </xf>
    <xf numFmtId="0" fontId="6" fillId="4" borderId="1" xfId="2" applyFont="1" applyFill="1" applyBorder="1" applyAlignment="1">
      <alignment horizontal="left" vertical="top"/>
    </xf>
    <xf numFmtId="3" fontId="6" fillId="4" borderId="1" xfId="3" applyNumberFormat="1" applyFont="1" applyFill="1" applyBorder="1" applyAlignment="1">
      <alignment horizontal="right" vertical="top"/>
    </xf>
    <xf numFmtId="164" fontId="0" fillId="0" borderId="0" xfId="5" applyNumberFormat="1" applyFont="1"/>
    <xf numFmtId="169" fontId="0" fillId="0" borderId="0" xfId="6" applyNumberFormat="1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73" fontId="0" fillId="0" borderId="0" xfId="0" applyNumberFormat="1"/>
    <xf numFmtId="173" fontId="0" fillId="0" borderId="0" xfId="6" applyNumberFormat="1" applyFont="1"/>
    <xf numFmtId="174" fontId="0" fillId="0" borderId="0" xfId="0" applyNumberFormat="1"/>
    <xf numFmtId="174" fontId="0" fillId="0" borderId="0" xfId="1" applyNumberFormat="1" applyFont="1"/>
  </cellXfs>
  <cellStyles count="9">
    <cellStyle name="Comma" xfId="5" builtinId="3"/>
    <cellStyle name="Comma 2" xfId="3" xr:uid="{00000000-0005-0000-0000-000001000000}"/>
    <cellStyle name="Comma 4" xfId="8" xr:uid="{D60D3D6A-35A8-4D58-A186-AFCF4EB10267}"/>
    <cellStyle name="Currency" xfId="1" builtinId="4"/>
    <cellStyle name="Normal" xfId="0" builtinId="0"/>
    <cellStyle name="Normal 2" xfId="2" xr:uid="{00000000-0005-0000-0000-000004000000}"/>
    <cellStyle name="Normal 5" xfId="7" xr:uid="{CE069EA9-A203-4DA5-92A9-B918D4925953}"/>
    <cellStyle name="Percent" xfId="6" builtinId="5"/>
    <cellStyle name="Percent 2" xfId="4" xr:uid="{00000000-0005-0000-0000-000006000000}"/>
  </cellStyles>
  <dxfs count="0"/>
  <tableStyles count="1" defaultTableStyle="TableStyleMedium2" defaultPivotStyle="PivotStyleLight16">
    <tableStyle name="Invisible" pivot="0" table="0" count="0" xr9:uid="{52F0DF98-9D78-4028-B8C4-32994390DA34}"/>
  </tableStyles>
  <colors>
    <mruColors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456046</xdr:colOff>
      <xdr:row>12</xdr:row>
      <xdr:rowOff>161639</xdr:rowOff>
    </xdr:from>
    <xdr:to>
      <xdr:col>9</xdr:col>
      <xdr:colOff>331519</xdr:colOff>
      <xdr:row>18</xdr:row>
      <xdr:rowOff>74220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CA02B15-169A-AAA5-8A5D-E7D93C5D9769}"/>
            </a:ext>
          </a:extLst>
        </xdr:cNvPr>
        <xdr:cNvSpPr/>
      </xdr:nvSpPr>
      <xdr:spPr>
        <a:xfrm>
          <a:off x="3880098" y="2358574"/>
          <a:ext cx="5011551" cy="1006101"/>
        </a:xfrm>
        <a:prstGeom prst="round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 baseline="0"/>
            <a:t>VLOOKUP and HLOOKUP</a:t>
          </a:r>
        </a:p>
        <a:p>
          <a:pPr algn="l"/>
          <a:r>
            <a:rPr lang="en-US" sz="1600" b="1" baseline="0"/>
            <a:t>XLOOKUP</a:t>
          </a:r>
          <a:r>
            <a:rPr lang="en-US" sz="1600" baseline="0"/>
            <a:t> - includes all uses of VLOOKUP and HLOOKUP and has additional capabilities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6"/>
  <sheetViews>
    <sheetView zoomScale="200" zoomScaleNormal="200" workbookViewId="0">
      <selection activeCell="D11" sqref="D11"/>
    </sheetView>
  </sheetViews>
  <sheetFormatPr defaultColWidth="8.85546875" defaultRowHeight="15" x14ac:dyDescent="0.25"/>
  <cols>
    <col min="1" max="1" width="9.42578125" customWidth="1"/>
    <col min="8" max="8" width="11.140625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</row>
    <row r="2" spans="1:9" x14ac:dyDescent="0.25">
      <c r="A2" t="s">
        <v>6</v>
      </c>
      <c r="B2">
        <v>120</v>
      </c>
      <c r="C2">
        <v>170</v>
      </c>
      <c r="D2">
        <v>220</v>
      </c>
      <c r="E2">
        <v>260</v>
      </c>
      <c r="F2">
        <v>335</v>
      </c>
      <c r="G2">
        <v>420</v>
      </c>
    </row>
    <row r="3" spans="1:9" x14ac:dyDescent="0.25">
      <c r="A3" t="s">
        <v>7</v>
      </c>
      <c r="B3">
        <v>100</v>
      </c>
      <c r="C3">
        <v>140</v>
      </c>
      <c r="D3">
        <v>170</v>
      </c>
      <c r="E3">
        <v>200</v>
      </c>
      <c r="F3">
        <v>260</v>
      </c>
      <c r="G3">
        <v>340</v>
      </c>
    </row>
    <row r="4" spans="1:9" x14ac:dyDescent="0.25">
      <c r="A4" t="s">
        <v>8</v>
      </c>
    </row>
    <row r="6" spans="1:9" x14ac:dyDescent="0.25">
      <c r="A6" t="s">
        <v>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I5"/>
  <sheetViews>
    <sheetView zoomScale="205" zoomScaleNormal="205" workbookViewId="0"/>
  </sheetViews>
  <sheetFormatPr defaultColWidth="8.85546875" defaultRowHeight="15" x14ac:dyDescent="0.25"/>
  <cols>
    <col min="9" max="9" width="8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</row>
    <row r="2" spans="1:9" x14ac:dyDescent="0.25">
      <c r="A2" t="s">
        <v>6</v>
      </c>
      <c r="B2">
        <v>120</v>
      </c>
      <c r="C2">
        <v>170</v>
      </c>
      <c r="D2">
        <v>220</v>
      </c>
      <c r="E2">
        <v>260</v>
      </c>
      <c r="F2">
        <v>335</v>
      </c>
      <c r="G2">
        <v>420</v>
      </c>
      <c r="H2">
        <f>SUM(B2:G2)</f>
        <v>1525</v>
      </c>
      <c r="I2" s="15">
        <f>H2/6</f>
        <v>254.16666666666666</v>
      </c>
    </row>
    <row r="3" spans="1:9" x14ac:dyDescent="0.25">
      <c r="A3" t="s">
        <v>7</v>
      </c>
      <c r="B3">
        <v>100</v>
      </c>
      <c r="C3">
        <v>140</v>
      </c>
      <c r="D3">
        <v>170</v>
      </c>
      <c r="E3">
        <v>200</v>
      </c>
      <c r="F3">
        <v>260</v>
      </c>
      <c r="G3">
        <v>330</v>
      </c>
      <c r="I3" s="15"/>
    </row>
    <row r="4" spans="1:9" x14ac:dyDescent="0.25">
      <c r="A4" t="s">
        <v>8</v>
      </c>
      <c r="B4">
        <f t="shared" ref="B4" si="0">B2-B3</f>
        <v>20</v>
      </c>
      <c r="I4" s="15"/>
    </row>
    <row r="5" spans="1:9" x14ac:dyDescent="0.25">
      <c r="C5" s="68"/>
      <c r="D5" s="68"/>
      <c r="E5" s="68"/>
      <c r="F5" s="68"/>
      <c r="G5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11"/>
  <sheetViews>
    <sheetView zoomScale="175" zoomScaleNormal="175" workbookViewId="0">
      <selection activeCell="A6" sqref="A6"/>
    </sheetView>
  </sheetViews>
  <sheetFormatPr defaultColWidth="8.85546875" defaultRowHeight="15" x14ac:dyDescent="0.25"/>
  <cols>
    <col min="1" max="1" width="11" customWidth="1"/>
    <col min="2" max="2" width="9" customWidth="1"/>
    <col min="9" max="9" width="9.7109375" customWidth="1"/>
  </cols>
  <sheetData>
    <row r="1" spans="1:9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</row>
    <row r="2" spans="1:9" x14ac:dyDescent="0.25">
      <c r="A2" t="s">
        <v>6</v>
      </c>
      <c r="B2">
        <v>120</v>
      </c>
      <c r="C2">
        <v>160</v>
      </c>
      <c r="D2">
        <v>210</v>
      </c>
      <c r="E2">
        <v>250</v>
      </c>
      <c r="F2">
        <v>325</v>
      </c>
      <c r="G2">
        <v>440</v>
      </c>
      <c r="H2">
        <f t="shared" ref="H2:H4" si="0">SUM(B2:G2)</f>
        <v>1505</v>
      </c>
      <c r="I2" s="15">
        <f>H2/6</f>
        <v>250.83333333333334</v>
      </c>
    </row>
    <row r="3" spans="1:9" x14ac:dyDescent="0.25">
      <c r="A3" t="s">
        <v>7</v>
      </c>
      <c r="B3">
        <v>100</v>
      </c>
      <c r="C3">
        <v>130</v>
      </c>
      <c r="D3">
        <v>160</v>
      </c>
      <c r="E3">
        <v>200</v>
      </c>
      <c r="F3">
        <v>260</v>
      </c>
      <c r="G3">
        <v>360</v>
      </c>
      <c r="H3">
        <f t="shared" si="0"/>
        <v>1210</v>
      </c>
      <c r="I3" s="15">
        <f t="shared" ref="I3:I4" si="1">H3/6</f>
        <v>201.66666666666666</v>
      </c>
    </row>
    <row r="4" spans="1:9" x14ac:dyDescent="0.25">
      <c r="A4" t="s">
        <v>8</v>
      </c>
      <c r="B4">
        <f t="shared" ref="B4:G4" si="2">B2-B3</f>
        <v>20</v>
      </c>
      <c r="C4">
        <f t="shared" si="2"/>
        <v>30</v>
      </c>
      <c r="D4">
        <f t="shared" si="2"/>
        <v>50</v>
      </c>
      <c r="E4">
        <f t="shared" si="2"/>
        <v>50</v>
      </c>
      <c r="F4">
        <f t="shared" si="2"/>
        <v>65</v>
      </c>
      <c r="G4">
        <f t="shared" si="2"/>
        <v>80</v>
      </c>
      <c r="H4">
        <f t="shared" si="0"/>
        <v>295</v>
      </c>
      <c r="I4" s="15">
        <f t="shared" si="1"/>
        <v>49.166666666666664</v>
      </c>
    </row>
    <row r="5" spans="1:9" x14ac:dyDescent="0.25">
      <c r="A5" t="s">
        <v>11</v>
      </c>
    </row>
    <row r="6" spans="1:9" x14ac:dyDescent="0.25">
      <c r="A6" t="s">
        <v>47</v>
      </c>
      <c r="C6" s="16"/>
      <c r="D6" s="16"/>
      <c r="E6" s="16"/>
      <c r="F6" s="16"/>
      <c r="G6" s="16"/>
    </row>
    <row r="8" spans="1:9" x14ac:dyDescent="0.25">
      <c r="A8" t="s">
        <v>48</v>
      </c>
    </row>
    <row r="9" spans="1:9" x14ac:dyDescent="0.25">
      <c r="A9" t="s">
        <v>49</v>
      </c>
    </row>
    <row r="10" spans="1:9" x14ac:dyDescent="0.25">
      <c r="A10" t="s">
        <v>50</v>
      </c>
    </row>
    <row r="11" spans="1:9" x14ac:dyDescent="0.25">
      <c r="A11" t="s">
        <v>51</v>
      </c>
    </row>
  </sheetData>
  <pageMargins left="0.7" right="0.7" top="0.75" bottom="0.75" header="0.3" footer="0.3"/>
  <pageSetup paperSize="166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13"/>
  <sheetViews>
    <sheetView zoomScale="160" zoomScaleNormal="160" workbookViewId="0">
      <selection activeCell="B10" sqref="B10"/>
    </sheetView>
  </sheetViews>
  <sheetFormatPr defaultColWidth="8.85546875" defaultRowHeight="15" x14ac:dyDescent="0.25"/>
  <cols>
    <col min="1" max="1" width="17.140625" bestFit="1" customWidth="1"/>
    <col min="2" max="2" width="14.42578125" bestFit="1" customWidth="1"/>
    <col min="3" max="3" width="10.85546875" customWidth="1"/>
    <col min="4" max="4" width="5.85546875" bestFit="1" customWidth="1"/>
    <col min="5" max="5" width="8.42578125" bestFit="1" customWidth="1"/>
    <col min="6" max="6" width="12.140625" bestFit="1" customWidth="1"/>
    <col min="8" max="8" width="6" bestFit="1" customWidth="1"/>
  </cols>
  <sheetData>
    <row r="1" spans="1:8" x14ac:dyDescent="0.25">
      <c r="A1" s="2" t="s">
        <v>12</v>
      </c>
      <c r="B1" s="3" t="s">
        <v>13</v>
      </c>
      <c r="C1" s="4" t="s">
        <v>14</v>
      </c>
      <c r="D1" s="5" t="s">
        <v>15</v>
      </c>
      <c r="E1" s="6" t="s">
        <v>16</v>
      </c>
      <c r="F1" s="7" t="s">
        <v>17</v>
      </c>
      <c r="G1" s="8"/>
      <c r="H1" s="14">
        <v>2.1000000000000001E-2</v>
      </c>
    </row>
    <row r="2" spans="1:8" x14ac:dyDescent="0.25">
      <c r="A2" s="8" t="s">
        <v>18</v>
      </c>
      <c r="B2" s="8" t="s">
        <v>6</v>
      </c>
      <c r="C2" s="9">
        <v>36475</v>
      </c>
      <c r="D2" s="10">
        <f t="shared" ref="D2:D13" ca="1" si="0">DATEDIF(C2,TODAY(),"Y")</f>
        <v>25</v>
      </c>
      <c r="E2" s="11">
        <v>54550</v>
      </c>
      <c r="F2" s="12"/>
      <c r="G2" s="13"/>
      <c r="H2" s="8"/>
    </row>
    <row r="3" spans="1:8" x14ac:dyDescent="0.25">
      <c r="A3" s="8" t="s">
        <v>55</v>
      </c>
      <c r="B3" s="8" t="s">
        <v>6</v>
      </c>
      <c r="C3" s="9">
        <v>40776</v>
      </c>
      <c r="D3" s="10">
        <f t="shared" ca="1" si="0"/>
        <v>13</v>
      </c>
      <c r="E3" s="11">
        <v>86795</v>
      </c>
      <c r="F3" s="12"/>
      <c r="G3" s="13"/>
      <c r="H3" s="8"/>
    </row>
    <row r="4" spans="1:8" x14ac:dyDescent="0.25">
      <c r="A4" s="8" t="s">
        <v>20</v>
      </c>
      <c r="B4" s="8" t="s">
        <v>29</v>
      </c>
      <c r="C4" s="9">
        <v>39269</v>
      </c>
      <c r="D4" s="10">
        <f t="shared" ca="1" si="0"/>
        <v>17</v>
      </c>
      <c r="E4" s="11">
        <v>42540</v>
      </c>
      <c r="F4" s="12"/>
      <c r="G4" s="8"/>
      <c r="H4" s="8"/>
    </row>
    <row r="5" spans="1:8" x14ac:dyDescent="0.25">
      <c r="A5" s="8" t="s">
        <v>54</v>
      </c>
      <c r="B5" s="8" t="s">
        <v>19</v>
      </c>
      <c r="C5" s="9">
        <v>39447</v>
      </c>
      <c r="D5" s="10">
        <f t="shared" ca="1" si="0"/>
        <v>17</v>
      </c>
      <c r="E5" s="11">
        <v>92830</v>
      </c>
      <c r="F5" s="12"/>
      <c r="G5" s="13"/>
      <c r="H5" s="8"/>
    </row>
    <row r="6" spans="1:8" x14ac:dyDescent="0.25">
      <c r="A6" s="8" t="s">
        <v>21</v>
      </c>
      <c r="B6" s="8" t="s">
        <v>6</v>
      </c>
      <c r="C6" s="9">
        <v>38963</v>
      </c>
      <c r="D6" s="10">
        <f t="shared" ca="1" si="0"/>
        <v>18</v>
      </c>
      <c r="E6" s="11">
        <v>60830</v>
      </c>
      <c r="F6" s="12"/>
      <c r="G6" s="13"/>
      <c r="H6" s="8"/>
    </row>
    <row r="7" spans="1:8" x14ac:dyDescent="0.25">
      <c r="A7" s="8" t="s">
        <v>53</v>
      </c>
      <c r="B7" s="8" t="s">
        <v>28</v>
      </c>
      <c r="C7" s="9">
        <v>39189</v>
      </c>
      <c r="D7" s="10">
        <f t="shared" ca="1" si="0"/>
        <v>17</v>
      </c>
      <c r="E7" s="11">
        <v>66580</v>
      </c>
      <c r="F7" s="12"/>
      <c r="G7" s="13"/>
      <c r="H7" s="8"/>
    </row>
    <row r="8" spans="1:8" x14ac:dyDescent="0.25">
      <c r="A8" s="8" t="s">
        <v>23</v>
      </c>
      <c r="B8" s="8" t="s">
        <v>22</v>
      </c>
      <c r="C8" s="9">
        <v>36260</v>
      </c>
      <c r="D8" s="10">
        <f t="shared" ca="1" si="0"/>
        <v>25</v>
      </c>
      <c r="E8" s="11">
        <v>75150</v>
      </c>
      <c r="F8" s="12"/>
      <c r="G8" s="8"/>
      <c r="H8" s="8"/>
    </row>
    <row r="9" spans="1:8" x14ac:dyDescent="0.25">
      <c r="A9" s="8" t="s">
        <v>24</v>
      </c>
      <c r="B9" s="8" t="s">
        <v>6</v>
      </c>
      <c r="C9" s="9">
        <v>37404</v>
      </c>
      <c r="D9" s="10">
        <f t="shared" ca="1" si="0"/>
        <v>22</v>
      </c>
      <c r="E9" s="11">
        <v>30780</v>
      </c>
      <c r="F9" s="12"/>
      <c r="G9" s="8"/>
      <c r="H9" s="8"/>
    </row>
    <row r="10" spans="1:8" x14ac:dyDescent="0.25">
      <c r="A10" s="8" t="s">
        <v>25</v>
      </c>
      <c r="B10" s="8" t="s">
        <v>22</v>
      </c>
      <c r="C10" s="9">
        <v>38142</v>
      </c>
      <c r="D10" s="10">
        <f t="shared" ca="1" si="0"/>
        <v>20</v>
      </c>
      <c r="E10" s="11">
        <v>49350</v>
      </c>
      <c r="F10" s="12"/>
      <c r="G10" s="13"/>
      <c r="H10" s="8"/>
    </row>
    <row r="11" spans="1:8" x14ac:dyDescent="0.25">
      <c r="A11" s="8" t="s">
        <v>56</v>
      </c>
      <c r="B11" s="8" t="s">
        <v>28</v>
      </c>
      <c r="C11" s="9">
        <v>40923</v>
      </c>
      <c r="D11" s="10">
        <f t="shared" ca="1" si="0"/>
        <v>13</v>
      </c>
      <c r="E11" s="11">
        <v>89760</v>
      </c>
      <c r="F11" s="12"/>
      <c r="G11" s="8"/>
      <c r="H11" s="8"/>
    </row>
    <row r="12" spans="1:8" x14ac:dyDescent="0.25">
      <c r="A12" s="8" t="s">
        <v>26</v>
      </c>
      <c r="B12" s="8" t="s">
        <v>29</v>
      </c>
      <c r="C12" s="9">
        <v>36764</v>
      </c>
      <c r="D12" s="10">
        <f t="shared" ca="1" si="0"/>
        <v>24</v>
      </c>
      <c r="E12" s="11">
        <v>74840</v>
      </c>
      <c r="F12" s="12"/>
      <c r="G12" s="8"/>
      <c r="H12" s="8"/>
    </row>
    <row r="13" spans="1:8" x14ac:dyDescent="0.25">
      <c r="A13" s="8" t="s">
        <v>27</v>
      </c>
      <c r="B13" s="8" t="s">
        <v>22</v>
      </c>
      <c r="C13" s="9">
        <v>40787</v>
      </c>
      <c r="D13" s="10">
        <f t="shared" ca="1" si="0"/>
        <v>13</v>
      </c>
      <c r="E13" s="11">
        <v>49070</v>
      </c>
      <c r="F13" s="12"/>
      <c r="G13" s="13"/>
      <c r="H1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J13"/>
  <sheetViews>
    <sheetView zoomScale="160" zoomScaleNormal="160" workbookViewId="0"/>
  </sheetViews>
  <sheetFormatPr defaultColWidth="9" defaultRowHeight="15" x14ac:dyDescent="0.25"/>
  <cols>
    <col min="1" max="1" width="13" bestFit="1" customWidth="1"/>
    <col min="2" max="2" width="9.42578125" customWidth="1"/>
    <col min="3" max="6" width="8.42578125" customWidth="1"/>
    <col min="7" max="7" width="10" customWidth="1"/>
    <col min="8" max="8" width="6.7109375" customWidth="1"/>
    <col min="10" max="10" width="8.28515625" customWidth="1"/>
    <col min="11" max="16" width="3" bestFit="1" customWidth="1"/>
  </cols>
  <sheetData>
    <row r="1" spans="1:10" x14ac:dyDescent="0.25">
      <c r="A1" s="17"/>
      <c r="B1" s="18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9</v>
      </c>
      <c r="J1" s="18" t="s">
        <v>6</v>
      </c>
    </row>
    <row r="2" spans="1:10" x14ac:dyDescent="0.25">
      <c r="A2" s="19" t="s">
        <v>35</v>
      </c>
      <c r="B2" s="17">
        <v>83</v>
      </c>
      <c r="C2" s="17">
        <v>107</v>
      </c>
      <c r="D2" s="17">
        <v>123</v>
      </c>
      <c r="E2" s="17">
        <v>134</v>
      </c>
      <c r="F2" s="17">
        <v>157</v>
      </c>
      <c r="G2" s="17"/>
      <c r="J2">
        <v>120</v>
      </c>
    </row>
    <row r="3" spans="1:10" x14ac:dyDescent="0.25">
      <c r="A3" s="19"/>
      <c r="B3" s="17"/>
      <c r="C3" s="17"/>
      <c r="D3" s="17"/>
      <c r="E3" s="17"/>
      <c r="F3" s="17"/>
      <c r="G3" s="17"/>
      <c r="J3">
        <v>170</v>
      </c>
    </row>
    <row r="4" spans="1:10" x14ac:dyDescent="0.25">
      <c r="A4" s="19" t="s">
        <v>36</v>
      </c>
      <c r="B4" s="21">
        <v>5832</v>
      </c>
      <c r="C4" s="20"/>
      <c r="D4" s="17"/>
      <c r="E4" s="17"/>
      <c r="F4" s="17"/>
      <c r="G4" s="17"/>
      <c r="H4">
        <v>87</v>
      </c>
      <c r="J4">
        <v>220</v>
      </c>
    </row>
    <row r="5" spans="1:10" x14ac:dyDescent="0.25">
      <c r="A5" s="19" t="s">
        <v>37</v>
      </c>
      <c r="B5" s="21">
        <v>5698</v>
      </c>
      <c r="C5" s="20"/>
      <c r="D5" s="17"/>
      <c r="E5" s="17"/>
      <c r="F5" s="17"/>
      <c r="G5" s="17"/>
      <c r="H5">
        <v>53</v>
      </c>
      <c r="J5">
        <v>260</v>
      </c>
    </row>
    <row r="6" spans="1:10" x14ac:dyDescent="0.25">
      <c r="A6" s="19" t="s">
        <v>38</v>
      </c>
      <c r="B6" s="21">
        <v>7634</v>
      </c>
      <c r="C6" s="20"/>
      <c r="D6" s="17"/>
      <c r="E6" s="17">
        <v>24</v>
      </c>
      <c r="F6" s="17">
        <v>87</v>
      </c>
      <c r="G6" s="17">
        <v>32</v>
      </c>
      <c r="J6">
        <v>335</v>
      </c>
    </row>
    <row r="7" spans="1:10" x14ac:dyDescent="0.25">
      <c r="A7" s="19" t="s">
        <v>39</v>
      </c>
      <c r="B7" s="21">
        <v>6875</v>
      </c>
      <c r="C7" s="20"/>
      <c r="D7" s="17"/>
      <c r="E7" s="17"/>
      <c r="F7" s="17"/>
      <c r="G7" s="17"/>
      <c r="J7">
        <v>420</v>
      </c>
    </row>
    <row r="8" spans="1:10" x14ac:dyDescent="0.25">
      <c r="A8" s="19"/>
      <c r="B8" s="21"/>
      <c r="C8" s="20"/>
      <c r="D8" s="17"/>
      <c r="E8" s="17"/>
      <c r="F8" s="17"/>
      <c r="G8" s="17"/>
      <c r="J8">
        <f>SUM(J2:J7)</f>
        <v>1525</v>
      </c>
    </row>
    <row r="9" spans="1:10" x14ac:dyDescent="0.25">
      <c r="A9" s="17"/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J9" s="15">
        <f>J8/6</f>
        <v>254.16666666666666</v>
      </c>
    </row>
    <row r="10" spans="1:10" x14ac:dyDescent="0.25">
      <c r="A10" s="19" t="s">
        <v>40</v>
      </c>
      <c r="B10" s="17">
        <v>13</v>
      </c>
      <c r="C10" s="17">
        <v>18</v>
      </c>
      <c r="D10" s="17">
        <v>17</v>
      </c>
      <c r="E10" s="17">
        <v>18</v>
      </c>
      <c r="F10" s="17">
        <v>18</v>
      </c>
      <c r="G10" s="17">
        <v>27</v>
      </c>
    </row>
    <row r="11" spans="1:10" x14ac:dyDescent="0.25">
      <c r="A11" s="19" t="s">
        <v>41</v>
      </c>
      <c r="B11" s="17">
        <v>12</v>
      </c>
      <c r="C11" s="17">
        <v>10</v>
      </c>
      <c r="D11" s="17">
        <v>8</v>
      </c>
      <c r="E11" s="17">
        <v>17</v>
      </c>
      <c r="F11" s="17">
        <v>18</v>
      </c>
      <c r="G11" s="17">
        <v>14</v>
      </c>
    </row>
    <row r="12" spans="1:10" x14ac:dyDescent="0.25">
      <c r="A12" s="19" t="s">
        <v>42</v>
      </c>
      <c r="B12" s="17">
        <v>16</v>
      </c>
      <c r="C12" s="17">
        <v>20</v>
      </c>
      <c r="D12" s="17">
        <v>18</v>
      </c>
      <c r="E12" s="17">
        <v>15</v>
      </c>
      <c r="F12" s="17">
        <v>17</v>
      </c>
      <c r="G12" s="17">
        <v>19</v>
      </c>
    </row>
    <row r="13" spans="1:10" x14ac:dyDescent="0.25">
      <c r="A13" s="19" t="s">
        <v>43</v>
      </c>
      <c r="B13" s="17">
        <v>7</v>
      </c>
      <c r="C13" s="17">
        <v>11</v>
      </c>
      <c r="D13" s="17">
        <v>12</v>
      </c>
      <c r="E13" s="17">
        <v>14</v>
      </c>
      <c r="F13" s="17">
        <v>14</v>
      </c>
      <c r="G13" s="17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6"/>
  <sheetViews>
    <sheetView zoomScale="160" zoomScaleNormal="160" workbookViewId="0">
      <selection activeCell="E11" sqref="E11"/>
    </sheetView>
  </sheetViews>
  <sheetFormatPr defaultColWidth="8.7109375" defaultRowHeight="15" x14ac:dyDescent="0.25"/>
  <cols>
    <col min="1" max="1" width="17.140625" bestFit="1" customWidth="1"/>
    <col min="2" max="2" width="14.42578125" bestFit="1" customWidth="1"/>
    <col min="3" max="3" width="10.42578125" style="32" bestFit="1" customWidth="1"/>
    <col min="4" max="4" width="7" bestFit="1" customWidth="1"/>
    <col min="5" max="5" width="10" bestFit="1" customWidth="1"/>
    <col min="6" max="6" width="8.42578125" customWidth="1"/>
    <col min="7" max="7" width="14.7109375" customWidth="1"/>
    <col min="8" max="8" width="11" customWidth="1"/>
    <col min="9" max="9" width="17.28515625" customWidth="1"/>
    <col min="10" max="10" width="17.140625" customWidth="1"/>
    <col min="12" max="12" width="8" customWidth="1"/>
    <col min="13" max="13" width="8.140625" customWidth="1"/>
  </cols>
  <sheetData>
    <row r="1" spans="1:17" x14ac:dyDescent="0.25">
      <c r="A1" s="22" t="s">
        <v>12</v>
      </c>
      <c r="B1" s="23" t="s">
        <v>13</v>
      </c>
      <c r="C1" s="31" t="s">
        <v>14</v>
      </c>
      <c r="D1" s="5" t="s">
        <v>15</v>
      </c>
      <c r="E1" s="34" t="s">
        <v>16</v>
      </c>
      <c r="F1" s="24"/>
      <c r="G1" s="7" t="s">
        <v>59</v>
      </c>
      <c r="Q1" s="25">
        <v>2.1000000000000001E-2</v>
      </c>
    </row>
    <row r="2" spans="1:17" x14ac:dyDescent="0.25">
      <c r="A2" s="26" t="s">
        <v>18</v>
      </c>
      <c r="B2" s="26" t="s">
        <v>6</v>
      </c>
      <c r="C2" s="32">
        <v>40479</v>
      </c>
      <c r="D2" s="10">
        <f t="shared" ref="D2:D13" ca="1" si="0">DATEDIF(C2,TODAY(),"Y")</f>
        <v>14</v>
      </c>
      <c r="E2" s="35">
        <v>74576</v>
      </c>
      <c r="F2" s="27"/>
      <c r="G2" s="28"/>
      <c r="H2" s="26" t="s">
        <v>9</v>
      </c>
      <c r="I2" s="29"/>
    </row>
    <row r="3" spans="1:17" x14ac:dyDescent="0.25">
      <c r="A3" s="26" t="s">
        <v>55</v>
      </c>
      <c r="B3" s="26" t="s">
        <v>6</v>
      </c>
      <c r="C3" s="32">
        <v>44780</v>
      </c>
      <c r="D3" s="10">
        <f t="shared" ca="1" si="0"/>
        <v>2</v>
      </c>
      <c r="E3" s="35">
        <v>118659</v>
      </c>
      <c r="F3" s="27"/>
      <c r="G3" s="28"/>
      <c r="H3" s="26" t="s">
        <v>10</v>
      </c>
      <c r="I3" s="29"/>
    </row>
    <row r="4" spans="1:17" x14ac:dyDescent="0.25">
      <c r="A4" s="26" t="s">
        <v>20</v>
      </c>
      <c r="B4" s="26" t="s">
        <v>29</v>
      </c>
      <c r="C4" s="32">
        <v>43273</v>
      </c>
      <c r="D4" s="10">
        <f t="shared" ca="1" si="0"/>
        <v>6</v>
      </c>
      <c r="E4" s="35">
        <v>58157</v>
      </c>
      <c r="F4" s="27"/>
      <c r="G4" s="28"/>
      <c r="H4" s="26" t="s">
        <v>44</v>
      </c>
      <c r="I4" s="29"/>
    </row>
    <row r="5" spans="1:17" x14ac:dyDescent="0.25">
      <c r="A5" s="26" t="s">
        <v>54</v>
      </c>
      <c r="B5" s="26" t="s">
        <v>19</v>
      </c>
      <c r="C5" s="32">
        <v>43451</v>
      </c>
      <c r="D5" s="10">
        <f t="shared" ca="1" si="0"/>
        <v>6</v>
      </c>
      <c r="E5" s="35">
        <v>126909</v>
      </c>
      <c r="F5" s="27"/>
      <c r="G5" s="28"/>
      <c r="H5" s="26"/>
      <c r="I5" s="29"/>
    </row>
    <row r="6" spans="1:17" x14ac:dyDescent="0.25">
      <c r="A6" s="26" t="s">
        <v>57</v>
      </c>
      <c r="B6" s="26" t="s">
        <v>6</v>
      </c>
      <c r="C6" s="32">
        <v>42967</v>
      </c>
      <c r="D6" s="10">
        <f t="shared" ca="1" si="0"/>
        <v>7</v>
      </c>
      <c r="E6" s="35">
        <v>83162</v>
      </c>
      <c r="F6" s="27"/>
      <c r="G6" s="28"/>
      <c r="I6" t="s">
        <v>60</v>
      </c>
    </row>
    <row r="7" spans="1:17" x14ac:dyDescent="0.25">
      <c r="A7" s="26" t="s">
        <v>53</v>
      </c>
      <c r="B7" s="26" t="s">
        <v>28</v>
      </c>
      <c r="C7" s="32">
        <v>43193</v>
      </c>
      <c r="D7" s="10">
        <f t="shared" ca="1" si="0"/>
        <v>6</v>
      </c>
      <c r="E7" s="35">
        <v>91023</v>
      </c>
      <c r="F7" s="27"/>
      <c r="G7" s="28"/>
      <c r="I7" t="s">
        <v>52</v>
      </c>
      <c r="L7" s="30"/>
      <c r="M7" s="30"/>
    </row>
    <row r="8" spans="1:17" x14ac:dyDescent="0.25">
      <c r="A8" s="26" t="s">
        <v>23</v>
      </c>
      <c r="B8" s="26" t="s">
        <v>22</v>
      </c>
      <c r="C8" s="32">
        <v>40264</v>
      </c>
      <c r="D8" s="10">
        <f t="shared" ca="1" si="0"/>
        <v>14</v>
      </c>
      <c r="E8" s="35">
        <v>102739</v>
      </c>
      <c r="F8" s="27"/>
      <c r="G8" s="28"/>
      <c r="I8" t="s">
        <v>45</v>
      </c>
    </row>
    <row r="9" spans="1:17" x14ac:dyDescent="0.25">
      <c r="A9" s="26" t="s">
        <v>24</v>
      </c>
      <c r="B9" s="26" t="s">
        <v>6</v>
      </c>
      <c r="C9" s="32">
        <v>41408</v>
      </c>
      <c r="D9" s="10">
        <f t="shared" ca="1" si="0"/>
        <v>11</v>
      </c>
      <c r="E9" s="35">
        <v>42080</v>
      </c>
      <c r="F9" s="27"/>
      <c r="G9" s="28"/>
      <c r="I9" t="s">
        <v>61</v>
      </c>
    </row>
    <row r="10" spans="1:17" x14ac:dyDescent="0.25">
      <c r="A10" s="26" t="s">
        <v>58</v>
      </c>
      <c r="B10" s="26" t="s">
        <v>22</v>
      </c>
      <c r="C10" s="32">
        <v>42146</v>
      </c>
      <c r="D10" s="10">
        <f t="shared" ca="1" si="0"/>
        <v>9</v>
      </c>
      <c r="E10" s="35">
        <v>67467</v>
      </c>
      <c r="F10" s="27"/>
      <c r="G10" s="28"/>
      <c r="H10" s="26"/>
      <c r="I10" t="s">
        <v>46</v>
      </c>
    </row>
    <row r="11" spans="1:17" x14ac:dyDescent="0.25">
      <c r="A11" s="26" t="s">
        <v>56</v>
      </c>
      <c r="B11" s="26" t="s">
        <v>28</v>
      </c>
      <c r="C11" s="32">
        <v>44835</v>
      </c>
      <c r="D11" s="10">
        <f t="shared" ca="1" si="0"/>
        <v>2</v>
      </c>
      <c r="E11" s="35">
        <v>122712</v>
      </c>
      <c r="F11" s="27"/>
      <c r="G11" s="28"/>
      <c r="H11" s="26"/>
      <c r="I11" s="29"/>
    </row>
    <row r="12" spans="1:17" x14ac:dyDescent="0.25">
      <c r="A12" s="26" t="s">
        <v>26</v>
      </c>
      <c r="B12" s="26" t="s">
        <v>29</v>
      </c>
      <c r="C12" s="32">
        <v>40768</v>
      </c>
      <c r="D12" s="10">
        <f t="shared" ca="1" si="0"/>
        <v>13</v>
      </c>
      <c r="E12" s="35">
        <v>102315</v>
      </c>
      <c r="F12" s="27"/>
      <c r="G12" s="28"/>
      <c r="H12" s="26"/>
      <c r="I12" s="29"/>
    </row>
    <row r="13" spans="1:17" x14ac:dyDescent="0.25">
      <c r="A13" s="26" t="s">
        <v>27</v>
      </c>
      <c r="B13" s="26" t="s">
        <v>22</v>
      </c>
      <c r="C13" s="32">
        <v>44791</v>
      </c>
      <c r="D13" s="10">
        <f t="shared" ca="1" si="0"/>
        <v>2</v>
      </c>
      <c r="E13" s="35">
        <v>67085</v>
      </c>
      <c r="F13" s="27"/>
      <c r="G13" s="28"/>
      <c r="H13" s="26"/>
      <c r="I13" s="29"/>
    </row>
    <row r="14" spans="1:17" x14ac:dyDescent="0.25">
      <c r="E14" s="29"/>
    </row>
    <row r="16" spans="1:17" x14ac:dyDescent="0.25">
      <c r="C16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6AEC-9628-4CB4-BD8B-2C235350FD0F}">
  <sheetPr>
    <tabColor rgb="FFFFFF00"/>
  </sheetPr>
  <dimension ref="A1:Z763"/>
  <sheetViews>
    <sheetView zoomScale="110" zoomScaleNormal="110" workbookViewId="0"/>
  </sheetViews>
  <sheetFormatPr defaultColWidth="8.7109375" defaultRowHeight="15" x14ac:dyDescent="0.25"/>
  <cols>
    <col min="1" max="1" width="16.140625" style="52" customWidth="1"/>
    <col min="2" max="2" width="15.7109375" style="52" customWidth="1"/>
    <col min="3" max="3" width="6" style="52" bestFit="1" customWidth="1"/>
    <col min="4" max="4" width="10.7109375" style="63" customWidth="1"/>
    <col min="5" max="6" width="13" customWidth="1"/>
    <col min="7" max="7" width="8.7109375" bestFit="1" customWidth="1"/>
    <col min="8" max="8" width="17.7109375" customWidth="1"/>
    <col min="9" max="9" width="20.28515625" customWidth="1"/>
    <col min="10" max="10" width="8" customWidth="1"/>
    <col min="11" max="11" width="10" style="63" bestFit="1" customWidth="1"/>
    <col min="14" max="14" width="11" bestFit="1" customWidth="1"/>
    <col min="15" max="15" width="12.85546875" customWidth="1"/>
    <col min="16" max="16" width="7.28515625" bestFit="1" customWidth="1"/>
    <col min="17" max="17" width="7.140625" bestFit="1" customWidth="1"/>
    <col min="18" max="18" width="8.28515625" bestFit="1" customWidth="1"/>
    <col min="21" max="21" width="11" bestFit="1" customWidth="1"/>
    <col min="22" max="22" width="15" customWidth="1"/>
    <col min="23" max="23" width="7.28515625" bestFit="1" customWidth="1"/>
    <col min="24" max="24" width="23.7109375" bestFit="1" customWidth="1"/>
    <col min="25" max="25" width="10.140625" bestFit="1" customWidth="1"/>
    <col min="26" max="26" width="5" bestFit="1" customWidth="1"/>
  </cols>
  <sheetData>
    <row r="1" spans="1:26" x14ac:dyDescent="0.25">
      <c r="A1" s="36" t="s">
        <v>12</v>
      </c>
      <c r="B1" s="37" t="s">
        <v>13</v>
      </c>
      <c r="C1" s="38" t="s">
        <v>62</v>
      </c>
      <c r="D1" s="39" t="s">
        <v>63</v>
      </c>
      <c r="G1" s="64" t="s">
        <v>62</v>
      </c>
      <c r="H1" s="65" t="s">
        <v>12</v>
      </c>
      <c r="J1" s="64" t="s">
        <v>62</v>
      </c>
      <c r="K1" s="66" t="s">
        <v>63</v>
      </c>
      <c r="N1" s="40" t="s">
        <v>64</v>
      </c>
      <c r="O1" s="41" t="s">
        <v>65</v>
      </c>
      <c r="P1" s="42" t="s">
        <v>66</v>
      </c>
      <c r="Q1" s="43" t="s">
        <v>63</v>
      </c>
      <c r="R1" s="42" t="s">
        <v>67</v>
      </c>
      <c r="S1" s="44"/>
      <c r="T1" s="45"/>
      <c r="U1" s="46" t="s">
        <v>64</v>
      </c>
      <c r="V1" s="47" t="s">
        <v>12</v>
      </c>
      <c r="W1" s="48" t="s">
        <v>68</v>
      </c>
      <c r="X1" s="49" t="s">
        <v>13</v>
      </c>
      <c r="Y1" s="50" t="s">
        <v>14</v>
      </c>
      <c r="Z1" s="51" t="s">
        <v>15</v>
      </c>
    </row>
    <row r="2" spans="1:26" x14ac:dyDescent="0.25">
      <c r="A2" s="52" t="s">
        <v>69</v>
      </c>
      <c r="B2" s="52" t="s">
        <v>19</v>
      </c>
      <c r="C2" s="53">
        <v>27961</v>
      </c>
      <c r="D2" s="54">
        <v>55245</v>
      </c>
      <c r="G2" s="53">
        <v>83743</v>
      </c>
      <c r="J2" s="53">
        <v>47530</v>
      </c>
      <c r="K2" s="67"/>
      <c r="N2" s="55">
        <v>102005930</v>
      </c>
      <c r="O2" s="56">
        <v>9707461285</v>
      </c>
      <c r="P2" s="44" t="s">
        <v>70</v>
      </c>
      <c r="Q2" s="57">
        <v>71493</v>
      </c>
      <c r="R2" s="58" t="s">
        <v>71</v>
      </c>
      <c r="S2" s="45"/>
      <c r="T2" s="45"/>
      <c r="U2" s="59">
        <v>213000113</v>
      </c>
      <c r="V2" s="58" t="s">
        <v>72</v>
      </c>
      <c r="W2" s="60" t="s">
        <v>73</v>
      </c>
      <c r="X2" s="58" t="s">
        <v>74</v>
      </c>
      <c r="Y2" s="61">
        <f>42394+(6*364)</f>
        <v>44578</v>
      </c>
      <c r="Z2" s="44">
        <f t="shared" ref="Z2:Z65" ca="1" si="0">DATEDIF(Y2,TODAY(),"Y")</f>
        <v>3</v>
      </c>
    </row>
    <row r="3" spans="1:26" x14ac:dyDescent="0.25">
      <c r="A3" s="52" t="s">
        <v>75</v>
      </c>
      <c r="B3" s="52" t="s">
        <v>19</v>
      </c>
      <c r="C3" s="53">
        <v>44761</v>
      </c>
      <c r="D3" s="54">
        <v>68524</v>
      </c>
      <c r="G3" s="53">
        <v>29545</v>
      </c>
      <c r="J3" s="53">
        <v>53423</v>
      </c>
      <c r="K3" s="67"/>
      <c r="N3" s="55">
        <v>102007610</v>
      </c>
      <c r="O3" s="56">
        <v>5051163627</v>
      </c>
      <c r="P3" s="44" t="s">
        <v>76</v>
      </c>
      <c r="Q3" s="57">
        <v>74406</v>
      </c>
      <c r="R3" s="58" t="s">
        <v>77</v>
      </c>
      <c r="S3" s="45"/>
      <c r="T3" s="45"/>
      <c r="U3" s="59">
        <v>731002170</v>
      </c>
      <c r="V3" s="58" t="s">
        <v>78</v>
      </c>
      <c r="W3" s="60" t="s">
        <v>79</v>
      </c>
      <c r="X3" s="58" t="s">
        <v>80</v>
      </c>
      <c r="Y3" s="61">
        <f>38117+(6*364)</f>
        <v>40301</v>
      </c>
      <c r="Z3" s="44">
        <f t="shared" ca="1" si="0"/>
        <v>14</v>
      </c>
    </row>
    <row r="4" spans="1:26" x14ac:dyDescent="0.25">
      <c r="A4" s="52" t="s">
        <v>81</v>
      </c>
      <c r="B4" s="52" t="s">
        <v>19</v>
      </c>
      <c r="C4" s="53">
        <v>80742</v>
      </c>
      <c r="D4" s="54">
        <v>112605</v>
      </c>
      <c r="G4" s="53">
        <v>52075</v>
      </c>
      <c r="J4" s="53">
        <v>36484</v>
      </c>
      <c r="K4" s="67"/>
      <c r="N4" s="62">
        <v>102008490</v>
      </c>
      <c r="O4" s="56">
        <v>3034919822</v>
      </c>
      <c r="P4" s="44" t="s">
        <v>82</v>
      </c>
      <c r="Q4" s="57">
        <v>52196</v>
      </c>
      <c r="R4" s="58" t="s">
        <v>77</v>
      </c>
      <c r="S4" s="45"/>
      <c r="T4" s="45"/>
      <c r="U4" s="59">
        <v>957003327</v>
      </c>
      <c r="V4" s="58" t="s">
        <v>83</v>
      </c>
      <c r="W4" s="60" t="s">
        <v>84</v>
      </c>
      <c r="X4" s="58" t="s">
        <v>85</v>
      </c>
      <c r="Y4" s="61">
        <f>38221+(6*364)</f>
        <v>40405</v>
      </c>
      <c r="Z4" s="44">
        <f t="shared" ca="1" si="0"/>
        <v>14</v>
      </c>
    </row>
    <row r="5" spans="1:26" x14ac:dyDescent="0.25">
      <c r="A5" s="52" t="s">
        <v>86</v>
      </c>
      <c r="B5" s="52" t="s">
        <v>19</v>
      </c>
      <c r="C5" s="53">
        <v>93943</v>
      </c>
      <c r="D5" s="54">
        <v>60147</v>
      </c>
      <c r="G5" s="53">
        <v>29471</v>
      </c>
      <c r="J5" s="53">
        <v>26621</v>
      </c>
      <c r="K5" s="67"/>
      <c r="N5" s="62">
        <v>103001637</v>
      </c>
      <c r="O5" s="56">
        <v>7196052545</v>
      </c>
      <c r="P5" s="44"/>
      <c r="Q5" s="57">
        <v>82380</v>
      </c>
      <c r="R5" s="58" t="s">
        <v>87</v>
      </c>
      <c r="S5" s="45"/>
      <c r="T5" s="45"/>
      <c r="U5" s="59">
        <v>997007800</v>
      </c>
      <c r="V5" s="58" t="s">
        <v>88</v>
      </c>
      <c r="W5" s="60" t="s">
        <v>89</v>
      </c>
      <c r="X5" s="58" t="s">
        <v>90</v>
      </c>
      <c r="Y5" s="61">
        <f>35743+(6*364)</f>
        <v>37927</v>
      </c>
      <c r="Z5" s="44">
        <f t="shared" ca="1" si="0"/>
        <v>21</v>
      </c>
    </row>
    <row r="6" spans="1:26" x14ac:dyDescent="0.25">
      <c r="A6" s="52" t="s">
        <v>91</v>
      </c>
      <c r="B6" s="52" t="s">
        <v>19</v>
      </c>
      <c r="C6" s="53">
        <v>92668</v>
      </c>
      <c r="D6" s="54">
        <v>79542</v>
      </c>
      <c r="G6" s="53">
        <v>81666</v>
      </c>
      <c r="J6" s="53">
        <v>42660</v>
      </c>
      <c r="K6" s="67"/>
      <c r="N6" s="62">
        <v>104001197</v>
      </c>
      <c r="O6" s="56">
        <v>9704998145</v>
      </c>
      <c r="P6" s="44" t="s">
        <v>92</v>
      </c>
      <c r="Q6" s="57">
        <v>66692</v>
      </c>
      <c r="R6" s="58" t="s">
        <v>77</v>
      </c>
      <c r="S6" s="45"/>
      <c r="T6" s="45"/>
      <c r="U6" s="59">
        <v>870003549</v>
      </c>
      <c r="V6" s="58" t="s">
        <v>93</v>
      </c>
      <c r="W6" s="60" t="s">
        <v>89</v>
      </c>
      <c r="X6" s="58" t="s">
        <v>94</v>
      </c>
      <c r="Y6" s="61">
        <f>35285+(6*364)</f>
        <v>37469</v>
      </c>
      <c r="Z6" s="44">
        <f t="shared" ca="1" si="0"/>
        <v>22</v>
      </c>
    </row>
    <row r="7" spans="1:26" x14ac:dyDescent="0.25">
      <c r="A7" s="52" t="s">
        <v>95</v>
      </c>
      <c r="B7" s="52" t="s">
        <v>96</v>
      </c>
      <c r="C7" s="53">
        <v>52075</v>
      </c>
      <c r="D7" s="54">
        <v>68115</v>
      </c>
      <c r="G7" s="53">
        <v>71946</v>
      </c>
      <c r="J7" s="53">
        <v>23806</v>
      </c>
      <c r="K7" s="67"/>
      <c r="N7" s="55">
        <v>105008005</v>
      </c>
      <c r="O7" s="56">
        <v>7195227751</v>
      </c>
      <c r="P7" s="44" t="s">
        <v>70</v>
      </c>
      <c r="Q7" s="57">
        <v>66123</v>
      </c>
      <c r="R7" s="58" t="s">
        <v>77</v>
      </c>
      <c r="S7" s="45"/>
      <c r="T7" s="45"/>
      <c r="U7" s="59">
        <v>568007779</v>
      </c>
      <c r="V7" s="58" t="s">
        <v>97</v>
      </c>
      <c r="W7" s="60" t="s">
        <v>73</v>
      </c>
      <c r="X7" s="58" t="s">
        <v>90</v>
      </c>
      <c r="Y7" s="61">
        <f>38242+(6*364)</f>
        <v>40426</v>
      </c>
      <c r="Z7" s="44">
        <f t="shared" ca="1" si="0"/>
        <v>14</v>
      </c>
    </row>
    <row r="8" spans="1:26" x14ac:dyDescent="0.25">
      <c r="A8" s="52" t="s">
        <v>98</v>
      </c>
      <c r="B8" s="52" t="s">
        <v>96</v>
      </c>
      <c r="C8" s="53">
        <v>50264</v>
      </c>
      <c r="D8" s="54">
        <v>93021</v>
      </c>
      <c r="G8" s="53">
        <v>54553</v>
      </c>
      <c r="J8" s="53">
        <v>36812</v>
      </c>
      <c r="K8" s="67"/>
      <c r="N8" s="55">
        <v>107004258</v>
      </c>
      <c r="O8" s="56">
        <v>9707146686</v>
      </c>
      <c r="P8" s="44" t="s">
        <v>99</v>
      </c>
      <c r="Q8" s="57">
        <v>80206</v>
      </c>
      <c r="R8" s="58" t="s">
        <v>71</v>
      </c>
      <c r="S8" s="45"/>
      <c r="T8" s="45"/>
      <c r="U8" s="59">
        <v>644004338</v>
      </c>
      <c r="V8" s="58" t="s">
        <v>100</v>
      </c>
      <c r="W8" s="60" t="s">
        <v>101</v>
      </c>
      <c r="X8" s="58" t="s">
        <v>80</v>
      </c>
      <c r="Y8" s="61">
        <f>38289+(6*364)</f>
        <v>40473</v>
      </c>
      <c r="Z8" s="44">
        <f t="shared" ca="1" si="0"/>
        <v>14</v>
      </c>
    </row>
    <row r="9" spans="1:26" x14ac:dyDescent="0.25">
      <c r="A9" s="52" t="s">
        <v>102</v>
      </c>
      <c r="B9" s="52" t="s">
        <v>96</v>
      </c>
      <c r="C9" s="53">
        <v>26621</v>
      </c>
      <c r="D9" s="54">
        <v>122689</v>
      </c>
      <c r="G9" s="53">
        <v>46326</v>
      </c>
      <c r="J9" s="53">
        <v>42021</v>
      </c>
      <c r="K9" s="67"/>
      <c r="N9" s="55">
        <v>108001462</v>
      </c>
      <c r="O9" s="56">
        <v>7196971022</v>
      </c>
      <c r="P9" s="44" t="s">
        <v>70</v>
      </c>
      <c r="Q9" s="57">
        <v>100804</v>
      </c>
      <c r="R9" s="58" t="s">
        <v>71</v>
      </c>
      <c r="S9" s="45"/>
      <c r="T9" s="45"/>
      <c r="U9" s="59">
        <v>669007373</v>
      </c>
      <c r="V9" s="58" t="s">
        <v>103</v>
      </c>
      <c r="W9" s="60" t="s">
        <v>101</v>
      </c>
      <c r="X9" s="58" t="s">
        <v>104</v>
      </c>
      <c r="Y9" s="61">
        <f>42294+(6*364)</f>
        <v>44478</v>
      </c>
      <c r="Z9" s="44">
        <f t="shared" ca="1" si="0"/>
        <v>3</v>
      </c>
    </row>
    <row r="10" spans="1:26" x14ac:dyDescent="0.25">
      <c r="A10" s="52" t="s">
        <v>849</v>
      </c>
      <c r="B10" s="52" t="s">
        <v>96</v>
      </c>
      <c r="C10" s="53">
        <v>83743</v>
      </c>
      <c r="D10" s="54">
        <v>103509</v>
      </c>
      <c r="G10" s="53">
        <v>94284</v>
      </c>
      <c r="J10" s="53">
        <v>12392</v>
      </c>
      <c r="K10" s="67"/>
      <c r="N10" s="55">
        <v>109008462</v>
      </c>
      <c r="O10" s="56">
        <v>9705780571</v>
      </c>
      <c r="P10" s="44" t="s">
        <v>82</v>
      </c>
      <c r="Q10" s="57">
        <v>111229</v>
      </c>
      <c r="R10" s="58" t="s">
        <v>77</v>
      </c>
      <c r="S10" s="45"/>
      <c r="T10" s="45"/>
      <c r="U10" s="59">
        <v>362005373</v>
      </c>
      <c r="V10" s="58" t="s">
        <v>106</v>
      </c>
      <c r="W10" s="60" t="s">
        <v>79</v>
      </c>
      <c r="X10" s="58" t="s">
        <v>107</v>
      </c>
      <c r="Y10" s="61">
        <f>37983+(6*364)</f>
        <v>40167</v>
      </c>
      <c r="Z10" s="44">
        <f t="shared" ca="1" si="0"/>
        <v>15</v>
      </c>
    </row>
    <row r="11" spans="1:26" x14ac:dyDescent="0.25">
      <c r="A11" s="52" t="s">
        <v>108</v>
      </c>
      <c r="B11" s="52" t="s">
        <v>96</v>
      </c>
      <c r="C11" s="53">
        <v>69264</v>
      </c>
      <c r="D11" s="54">
        <v>95142</v>
      </c>
      <c r="G11" s="53"/>
      <c r="J11" s="53"/>
      <c r="K11" s="54"/>
      <c r="N11" s="62">
        <v>110005187</v>
      </c>
      <c r="O11" s="56">
        <v>3031534053</v>
      </c>
      <c r="P11" s="44"/>
      <c r="Q11" s="57">
        <v>124005</v>
      </c>
      <c r="R11" s="58" t="s">
        <v>109</v>
      </c>
      <c r="S11" s="45"/>
      <c r="T11" s="45"/>
      <c r="U11" s="59">
        <v>846009936</v>
      </c>
      <c r="V11" s="58" t="s">
        <v>110</v>
      </c>
      <c r="W11" s="60" t="s">
        <v>79</v>
      </c>
      <c r="X11" s="58" t="s">
        <v>90</v>
      </c>
      <c r="Y11" s="61">
        <f>35644+(6*364)</f>
        <v>37828</v>
      </c>
      <c r="Z11" s="44">
        <f t="shared" ca="1" si="0"/>
        <v>21</v>
      </c>
    </row>
    <row r="12" spans="1:26" x14ac:dyDescent="0.25">
      <c r="A12" s="52" t="s">
        <v>111</v>
      </c>
      <c r="B12" s="52" t="s">
        <v>96</v>
      </c>
      <c r="C12" s="53">
        <v>90458</v>
      </c>
      <c r="D12" s="54">
        <v>130752</v>
      </c>
      <c r="G12" s="53"/>
      <c r="J12" s="53"/>
      <c r="K12" s="54"/>
      <c r="N12" s="62">
        <v>114003866</v>
      </c>
      <c r="O12" s="56">
        <v>3031810581</v>
      </c>
      <c r="P12" s="44"/>
      <c r="Q12" s="57">
        <v>26366</v>
      </c>
      <c r="R12" s="58" t="s">
        <v>87</v>
      </c>
      <c r="S12" s="45"/>
      <c r="T12" s="45"/>
      <c r="U12" s="59">
        <v>864003796</v>
      </c>
      <c r="V12" s="58" t="s">
        <v>112</v>
      </c>
      <c r="W12" s="60" t="s">
        <v>84</v>
      </c>
      <c r="X12" s="58" t="s">
        <v>94</v>
      </c>
      <c r="Y12" s="61">
        <f>42217+(6*364)</f>
        <v>44401</v>
      </c>
      <c r="Z12" s="44">
        <f t="shared" ca="1" si="0"/>
        <v>3</v>
      </c>
    </row>
    <row r="13" spans="1:26" x14ac:dyDescent="0.25">
      <c r="A13" s="52" t="s">
        <v>113</v>
      </c>
      <c r="B13" s="52" t="s">
        <v>96</v>
      </c>
      <c r="C13" s="53">
        <v>97880</v>
      </c>
      <c r="D13" s="54">
        <v>111528</v>
      </c>
      <c r="G13" s="53"/>
      <c r="J13" s="53"/>
      <c r="K13" s="54"/>
      <c r="N13" s="62">
        <v>114009751</v>
      </c>
      <c r="O13" s="56">
        <v>9707577867</v>
      </c>
      <c r="P13" s="44"/>
      <c r="Q13" s="57">
        <v>65470</v>
      </c>
      <c r="R13" s="58" t="s">
        <v>87</v>
      </c>
      <c r="S13" s="45"/>
      <c r="T13" s="45"/>
      <c r="U13" s="59">
        <v>640009351</v>
      </c>
      <c r="V13" s="58" t="s">
        <v>114</v>
      </c>
      <c r="W13" s="60" t="s">
        <v>73</v>
      </c>
      <c r="X13" s="58" t="s">
        <v>90</v>
      </c>
      <c r="Y13" s="61">
        <f>38256+(6*364)</f>
        <v>40440</v>
      </c>
      <c r="Z13" s="44">
        <f t="shared" ca="1" si="0"/>
        <v>14</v>
      </c>
    </row>
    <row r="14" spans="1:26" x14ac:dyDescent="0.25">
      <c r="A14" s="52" t="s">
        <v>115</v>
      </c>
      <c r="B14" s="52" t="s">
        <v>96</v>
      </c>
      <c r="C14" s="53">
        <v>41477</v>
      </c>
      <c r="D14" s="54">
        <v>72894</v>
      </c>
      <c r="J14" s="53"/>
      <c r="K14" s="54"/>
      <c r="N14" s="62">
        <v>115003138</v>
      </c>
      <c r="O14" s="56">
        <v>5052612740</v>
      </c>
      <c r="P14" s="44" t="s">
        <v>76</v>
      </c>
      <c r="Q14" s="57">
        <v>43347</v>
      </c>
      <c r="R14" s="58" t="s">
        <v>71</v>
      </c>
      <c r="S14" s="45"/>
      <c r="T14" s="45"/>
      <c r="U14" s="59">
        <v>667000637</v>
      </c>
      <c r="V14" s="58" t="s">
        <v>116</v>
      </c>
      <c r="W14" s="60" t="s">
        <v>79</v>
      </c>
      <c r="X14" s="58" t="s">
        <v>107</v>
      </c>
      <c r="Y14" s="61">
        <f>38411+(6*364)</f>
        <v>40595</v>
      </c>
      <c r="Z14" s="44">
        <f t="shared" ca="1" si="0"/>
        <v>14</v>
      </c>
    </row>
    <row r="15" spans="1:26" x14ac:dyDescent="0.25">
      <c r="A15" s="52" t="s">
        <v>117</v>
      </c>
      <c r="B15" s="52" t="s">
        <v>96</v>
      </c>
      <c r="C15" s="53">
        <v>18630</v>
      </c>
      <c r="D15" s="54">
        <v>115981</v>
      </c>
      <c r="J15" s="53"/>
      <c r="K15" s="54"/>
      <c r="N15" s="62">
        <v>117000499</v>
      </c>
      <c r="O15" s="56">
        <v>3031765611</v>
      </c>
      <c r="P15" s="44" t="s">
        <v>92</v>
      </c>
      <c r="Q15" s="57">
        <v>114735</v>
      </c>
      <c r="R15" s="58" t="s">
        <v>71</v>
      </c>
      <c r="S15" s="45"/>
      <c r="T15" s="45"/>
      <c r="U15" s="59">
        <v>674001782</v>
      </c>
      <c r="V15" s="58" t="s">
        <v>118</v>
      </c>
      <c r="W15" s="60" t="s">
        <v>79</v>
      </c>
      <c r="X15" s="58" t="s">
        <v>90</v>
      </c>
      <c r="Y15" s="61">
        <f>37862+(6*364)</f>
        <v>40046</v>
      </c>
      <c r="Z15" s="44">
        <f t="shared" ca="1" si="0"/>
        <v>15</v>
      </c>
    </row>
    <row r="16" spans="1:26" ht="14.45" customHeight="1" x14ac:dyDescent="0.25">
      <c r="A16" s="52" t="s">
        <v>119</v>
      </c>
      <c r="B16" s="52" t="s">
        <v>96</v>
      </c>
      <c r="C16" s="53">
        <v>28817</v>
      </c>
      <c r="D16" s="54">
        <v>115529</v>
      </c>
      <c r="K16" s="54"/>
      <c r="N16" s="62">
        <v>118000954</v>
      </c>
      <c r="O16" s="56">
        <v>3038792521</v>
      </c>
      <c r="P16" s="44" t="s">
        <v>82</v>
      </c>
      <c r="Q16" s="57">
        <v>78138</v>
      </c>
      <c r="R16" s="58" t="s">
        <v>71</v>
      </c>
      <c r="S16" s="45"/>
      <c r="T16" s="45"/>
      <c r="U16" s="59">
        <v>549009495</v>
      </c>
      <c r="V16" s="58" t="s">
        <v>120</v>
      </c>
      <c r="W16" s="60" t="s">
        <v>89</v>
      </c>
      <c r="X16" s="58" t="s">
        <v>94</v>
      </c>
      <c r="Y16" s="61">
        <f>42061+(6*364)</f>
        <v>44245</v>
      </c>
      <c r="Z16" s="44">
        <f t="shared" ca="1" si="0"/>
        <v>4</v>
      </c>
    </row>
    <row r="17" spans="1:26" x14ac:dyDescent="0.25">
      <c r="A17" s="52" t="s">
        <v>121</v>
      </c>
      <c r="B17" s="52" t="s">
        <v>96</v>
      </c>
      <c r="C17" s="53">
        <v>76894</v>
      </c>
      <c r="D17" s="54">
        <v>118223</v>
      </c>
      <c r="K17" s="54"/>
      <c r="N17" s="62">
        <v>119001416</v>
      </c>
      <c r="O17" s="56">
        <v>5058527032</v>
      </c>
      <c r="P17" s="44"/>
      <c r="Q17" s="57">
        <v>56435</v>
      </c>
      <c r="R17" s="58" t="s">
        <v>87</v>
      </c>
      <c r="S17" s="45"/>
      <c r="T17" s="45"/>
      <c r="U17" s="59">
        <v>432005894</v>
      </c>
      <c r="V17" s="58" t="s">
        <v>122</v>
      </c>
      <c r="W17" s="60" t="s">
        <v>84</v>
      </c>
      <c r="X17" s="58" t="s">
        <v>94</v>
      </c>
      <c r="Y17" s="61">
        <f>38299+(6*364)</f>
        <v>40483</v>
      </c>
      <c r="Z17" s="44">
        <f t="shared" ca="1" si="0"/>
        <v>14</v>
      </c>
    </row>
    <row r="18" spans="1:26" x14ac:dyDescent="0.25">
      <c r="A18" s="52" t="s">
        <v>123</v>
      </c>
      <c r="B18" s="52" t="s">
        <v>96</v>
      </c>
      <c r="C18" s="53">
        <v>41643</v>
      </c>
      <c r="D18" s="54">
        <v>68845</v>
      </c>
      <c r="K18" s="54"/>
      <c r="N18" s="62">
        <v>120001650</v>
      </c>
      <c r="O18" s="56">
        <v>7194555389</v>
      </c>
      <c r="P18" s="44"/>
      <c r="Q18" s="57">
        <v>95190</v>
      </c>
      <c r="R18" s="58" t="s">
        <v>109</v>
      </c>
      <c r="S18" s="45"/>
      <c r="T18" s="45"/>
      <c r="U18" s="59">
        <v>881009792</v>
      </c>
      <c r="V18" s="58" t="s">
        <v>124</v>
      </c>
      <c r="W18" s="60" t="s">
        <v>73</v>
      </c>
      <c r="X18" s="58" t="s">
        <v>107</v>
      </c>
      <c r="Y18" s="61">
        <f>38430+(6*364)</f>
        <v>40614</v>
      </c>
      <c r="Z18" s="44">
        <f t="shared" ca="1" si="0"/>
        <v>13</v>
      </c>
    </row>
    <row r="19" spans="1:26" x14ac:dyDescent="0.25">
      <c r="A19" s="52" t="s">
        <v>125</v>
      </c>
      <c r="B19" s="52" t="s">
        <v>96</v>
      </c>
      <c r="C19" s="53">
        <v>71978</v>
      </c>
      <c r="D19" s="54">
        <v>48639</v>
      </c>
      <c r="K19" s="54"/>
      <c r="N19" s="62">
        <v>123004561</v>
      </c>
      <c r="O19" s="56">
        <v>7195804771</v>
      </c>
      <c r="P19" s="44"/>
      <c r="Q19" s="57">
        <v>41000</v>
      </c>
      <c r="R19" s="58" t="s">
        <v>87</v>
      </c>
      <c r="S19" s="45"/>
      <c r="T19" s="45"/>
      <c r="U19" s="59">
        <v>881003055</v>
      </c>
      <c r="V19" s="58" t="s">
        <v>126</v>
      </c>
      <c r="W19" s="60" t="s">
        <v>73</v>
      </c>
      <c r="X19" s="58" t="s">
        <v>107</v>
      </c>
      <c r="Y19" s="61">
        <f>35670+(6*364)</f>
        <v>37854</v>
      </c>
      <c r="Z19" s="44">
        <f t="shared" ca="1" si="0"/>
        <v>21</v>
      </c>
    </row>
    <row r="20" spans="1:26" x14ac:dyDescent="0.25">
      <c r="A20" s="52" t="s">
        <v>127</v>
      </c>
      <c r="B20" s="52" t="s">
        <v>96</v>
      </c>
      <c r="C20" s="53">
        <v>25627</v>
      </c>
      <c r="D20" s="54">
        <v>78434</v>
      </c>
      <c r="K20" s="54"/>
      <c r="N20" s="62">
        <v>124001120</v>
      </c>
      <c r="O20" s="56">
        <v>7195441252</v>
      </c>
      <c r="P20" s="44" t="s">
        <v>92</v>
      </c>
      <c r="Q20" s="57">
        <v>85454</v>
      </c>
      <c r="R20" s="58" t="s">
        <v>71</v>
      </c>
      <c r="S20" s="45"/>
      <c r="T20" s="45"/>
      <c r="U20" s="59">
        <v>303006952</v>
      </c>
      <c r="V20" s="58" t="s">
        <v>128</v>
      </c>
      <c r="W20" s="60" t="s">
        <v>79</v>
      </c>
      <c r="X20" s="58" t="s">
        <v>129</v>
      </c>
      <c r="Y20" s="61">
        <f>36332+(6*364)</f>
        <v>38516</v>
      </c>
      <c r="Z20" s="44">
        <f t="shared" ca="1" si="0"/>
        <v>19</v>
      </c>
    </row>
    <row r="21" spans="1:26" x14ac:dyDescent="0.25">
      <c r="A21" s="52" t="s">
        <v>130</v>
      </c>
      <c r="B21" s="52" t="s">
        <v>96</v>
      </c>
      <c r="C21" s="53">
        <v>12392</v>
      </c>
      <c r="D21" s="54">
        <v>61494</v>
      </c>
      <c r="K21" s="54"/>
      <c r="N21" s="62">
        <v>124004728</v>
      </c>
      <c r="O21" s="56">
        <v>9702999652</v>
      </c>
      <c r="P21" s="44"/>
      <c r="Q21" s="57">
        <v>68801</v>
      </c>
      <c r="R21" s="58" t="s">
        <v>87</v>
      </c>
      <c r="S21" s="45"/>
      <c r="T21" s="45"/>
      <c r="U21" s="59">
        <v>698005067</v>
      </c>
      <c r="V21" s="58" t="s">
        <v>131</v>
      </c>
      <c r="W21" s="60" t="s">
        <v>89</v>
      </c>
      <c r="X21" s="58" t="s">
        <v>132</v>
      </c>
      <c r="Y21" s="61">
        <f>41453+(6*364)</f>
        <v>43637</v>
      </c>
      <c r="Z21" s="44">
        <f t="shared" ca="1" si="0"/>
        <v>5</v>
      </c>
    </row>
    <row r="22" spans="1:26" x14ac:dyDescent="0.25">
      <c r="A22" s="52" t="s">
        <v>133</v>
      </c>
      <c r="B22" s="52" t="s">
        <v>96</v>
      </c>
      <c r="C22" s="53">
        <v>88358</v>
      </c>
      <c r="D22" s="54">
        <v>91445</v>
      </c>
      <c r="K22" s="54"/>
      <c r="N22" s="62">
        <v>124007460</v>
      </c>
      <c r="O22" s="56">
        <v>5051389906</v>
      </c>
      <c r="P22" s="44" t="s">
        <v>99</v>
      </c>
      <c r="Q22" s="57">
        <v>119069</v>
      </c>
      <c r="R22" s="58" t="s">
        <v>71</v>
      </c>
      <c r="S22" s="45"/>
      <c r="T22" s="45"/>
      <c r="U22" s="59">
        <v>186003470</v>
      </c>
      <c r="V22" s="58" t="s">
        <v>134</v>
      </c>
      <c r="W22" s="60" t="s">
        <v>89</v>
      </c>
      <c r="X22" s="58" t="s">
        <v>94</v>
      </c>
      <c r="Y22" s="61">
        <f>39062+(6*364)</f>
        <v>41246</v>
      </c>
      <c r="Z22" s="44">
        <f t="shared" ca="1" si="0"/>
        <v>12</v>
      </c>
    </row>
    <row r="23" spans="1:26" x14ac:dyDescent="0.25">
      <c r="A23" s="52" t="s">
        <v>135</v>
      </c>
      <c r="B23" s="52" t="s">
        <v>96</v>
      </c>
      <c r="C23" s="53">
        <v>11749</v>
      </c>
      <c r="D23" s="54">
        <v>57947</v>
      </c>
      <c r="K23" s="54"/>
      <c r="N23" s="62">
        <v>126007461</v>
      </c>
      <c r="O23" s="56">
        <v>7198801464</v>
      </c>
      <c r="P23" s="44"/>
      <c r="Q23" s="57">
        <v>68318</v>
      </c>
      <c r="R23" s="58" t="s">
        <v>109</v>
      </c>
      <c r="S23" s="45"/>
      <c r="T23" s="45"/>
      <c r="U23" s="59">
        <v>676009815</v>
      </c>
      <c r="V23" s="58" t="s">
        <v>75</v>
      </c>
      <c r="W23" s="60" t="s">
        <v>73</v>
      </c>
      <c r="X23" s="58" t="s">
        <v>90</v>
      </c>
      <c r="Y23" s="61">
        <f>41113+(6*364)</f>
        <v>43297</v>
      </c>
      <c r="Z23" s="44">
        <f t="shared" ca="1" si="0"/>
        <v>6</v>
      </c>
    </row>
    <row r="24" spans="1:26" x14ac:dyDescent="0.25">
      <c r="A24" s="52" t="s">
        <v>136</v>
      </c>
      <c r="B24" s="52" t="s">
        <v>137</v>
      </c>
      <c r="C24" s="53">
        <v>71946</v>
      </c>
      <c r="D24" s="54">
        <v>66792</v>
      </c>
      <c r="K24" s="54"/>
      <c r="N24" s="62">
        <v>127000100</v>
      </c>
      <c r="O24" s="56">
        <v>7191711684</v>
      </c>
      <c r="P24" s="44"/>
      <c r="Q24" s="57">
        <v>48610</v>
      </c>
      <c r="R24" s="58" t="s">
        <v>109</v>
      </c>
      <c r="S24" s="45"/>
      <c r="T24" s="45"/>
      <c r="U24" s="59">
        <v>866009369</v>
      </c>
      <c r="V24" s="58" t="s">
        <v>138</v>
      </c>
      <c r="W24" s="60" t="s">
        <v>73</v>
      </c>
      <c r="X24" s="58" t="s">
        <v>80</v>
      </c>
      <c r="Y24" s="61">
        <f>38386+(6*364)</f>
        <v>40570</v>
      </c>
      <c r="Z24" s="44">
        <f t="shared" ca="1" si="0"/>
        <v>14</v>
      </c>
    </row>
    <row r="25" spans="1:26" x14ac:dyDescent="0.25">
      <c r="A25" s="52" t="s">
        <v>139</v>
      </c>
      <c r="B25" s="52" t="s">
        <v>137</v>
      </c>
      <c r="C25" s="53">
        <v>39342</v>
      </c>
      <c r="D25" s="54">
        <v>113492</v>
      </c>
      <c r="K25" s="54"/>
      <c r="N25" s="62">
        <v>127002654</v>
      </c>
      <c r="O25" s="56">
        <v>5052126686</v>
      </c>
      <c r="P25" s="44"/>
      <c r="Q25" s="57">
        <v>129082</v>
      </c>
      <c r="R25" s="58" t="s">
        <v>109</v>
      </c>
      <c r="S25" s="45"/>
      <c r="T25" s="45"/>
      <c r="U25" s="59">
        <v>928008012</v>
      </c>
      <c r="V25" s="58" t="s">
        <v>140</v>
      </c>
      <c r="W25" s="60" t="s">
        <v>84</v>
      </c>
      <c r="X25" s="58" t="s">
        <v>90</v>
      </c>
      <c r="Y25" s="61">
        <f>39744+(6*364)</f>
        <v>41928</v>
      </c>
      <c r="Z25" s="44">
        <f t="shared" ca="1" si="0"/>
        <v>10</v>
      </c>
    </row>
    <row r="26" spans="1:26" x14ac:dyDescent="0.25">
      <c r="A26" s="52" t="s">
        <v>141</v>
      </c>
      <c r="B26" s="52" t="s">
        <v>137</v>
      </c>
      <c r="C26" s="53">
        <v>43826</v>
      </c>
      <c r="D26" s="54">
        <v>78449</v>
      </c>
      <c r="K26" s="54"/>
      <c r="N26" s="62">
        <v>129009571</v>
      </c>
      <c r="O26" s="56">
        <v>7198999194</v>
      </c>
      <c r="P26" s="44"/>
      <c r="Q26" s="57">
        <v>71844</v>
      </c>
      <c r="R26" s="58" t="s">
        <v>87</v>
      </c>
      <c r="S26" s="45"/>
      <c r="T26" s="45"/>
      <c r="U26" s="59">
        <v>109008462</v>
      </c>
      <c r="V26" s="58" t="s">
        <v>142</v>
      </c>
      <c r="W26" s="60" t="s">
        <v>89</v>
      </c>
      <c r="X26" s="58" t="s">
        <v>104</v>
      </c>
      <c r="Y26" s="61">
        <f>35426+(6*364)</f>
        <v>37610</v>
      </c>
      <c r="Z26" s="44">
        <f t="shared" ca="1" si="0"/>
        <v>22</v>
      </c>
    </row>
    <row r="27" spans="1:26" x14ac:dyDescent="0.25">
      <c r="A27" s="52" t="s">
        <v>143</v>
      </c>
      <c r="B27" s="52" t="s">
        <v>137</v>
      </c>
      <c r="C27" s="53">
        <v>36812</v>
      </c>
      <c r="D27" s="54">
        <v>75335</v>
      </c>
      <c r="K27" s="54"/>
      <c r="N27" s="62">
        <v>132000583</v>
      </c>
      <c r="O27" s="56">
        <v>3034375399</v>
      </c>
      <c r="P27" s="44" t="s">
        <v>82</v>
      </c>
      <c r="Q27" s="57">
        <v>97142</v>
      </c>
      <c r="R27" s="58" t="s">
        <v>71</v>
      </c>
      <c r="S27" s="45"/>
      <c r="T27" s="45"/>
      <c r="U27" s="59">
        <v>324008243</v>
      </c>
      <c r="V27" s="58" t="s">
        <v>144</v>
      </c>
      <c r="W27" s="60" t="s">
        <v>89</v>
      </c>
      <c r="X27" s="58" t="s">
        <v>85</v>
      </c>
      <c r="Y27" s="61">
        <f>42285+(6*364)</f>
        <v>44469</v>
      </c>
      <c r="Z27" s="44">
        <f t="shared" ca="1" si="0"/>
        <v>3</v>
      </c>
    </row>
    <row r="28" spans="1:26" x14ac:dyDescent="0.25">
      <c r="A28" s="52" t="s">
        <v>145</v>
      </c>
      <c r="B28" s="52" t="s">
        <v>137</v>
      </c>
      <c r="C28" s="53">
        <v>91712</v>
      </c>
      <c r="D28" s="54">
        <v>45375</v>
      </c>
      <c r="K28" s="54"/>
      <c r="N28" s="62">
        <v>134005655</v>
      </c>
      <c r="O28" s="56">
        <v>9701620909</v>
      </c>
      <c r="P28" s="44" t="s">
        <v>99</v>
      </c>
      <c r="Q28" s="57">
        <v>54601</v>
      </c>
      <c r="R28" s="58" t="s">
        <v>71</v>
      </c>
      <c r="S28" s="45"/>
      <c r="T28" s="45"/>
      <c r="U28" s="59">
        <v>220000230</v>
      </c>
      <c r="V28" s="58" t="s">
        <v>146</v>
      </c>
      <c r="W28" s="60" t="s">
        <v>79</v>
      </c>
      <c r="X28" s="58" t="s">
        <v>147</v>
      </c>
      <c r="Y28" s="61">
        <f>39160+(6*364)</f>
        <v>41344</v>
      </c>
      <c r="Z28" s="44">
        <f t="shared" ca="1" si="0"/>
        <v>11</v>
      </c>
    </row>
    <row r="29" spans="1:26" x14ac:dyDescent="0.25">
      <c r="A29" s="52" t="s">
        <v>148</v>
      </c>
      <c r="B29" s="52" t="s">
        <v>137</v>
      </c>
      <c r="C29" s="53">
        <v>35104</v>
      </c>
      <c r="D29" s="54">
        <v>76251</v>
      </c>
      <c r="K29" s="54"/>
      <c r="N29" s="62">
        <v>135007923</v>
      </c>
      <c r="O29" s="56">
        <v>3036799516</v>
      </c>
      <c r="P29" s="44" t="s">
        <v>70</v>
      </c>
      <c r="Q29" s="57">
        <v>98808</v>
      </c>
      <c r="R29" s="58" t="s">
        <v>77</v>
      </c>
      <c r="S29" s="45"/>
      <c r="T29" s="45"/>
      <c r="U29" s="59">
        <v>542004436</v>
      </c>
      <c r="V29" s="58" t="s">
        <v>149</v>
      </c>
      <c r="W29" s="60" t="s">
        <v>89</v>
      </c>
      <c r="X29" s="58" t="s">
        <v>94</v>
      </c>
      <c r="Y29" s="61">
        <f>36093+(6*364)</f>
        <v>38277</v>
      </c>
      <c r="Z29" s="44">
        <f t="shared" ca="1" si="0"/>
        <v>20</v>
      </c>
    </row>
    <row r="30" spans="1:26" x14ac:dyDescent="0.25">
      <c r="A30" s="52" t="s">
        <v>150</v>
      </c>
      <c r="B30" s="52" t="s">
        <v>137</v>
      </c>
      <c r="C30" s="53">
        <v>87819</v>
      </c>
      <c r="D30" s="54">
        <v>88752</v>
      </c>
      <c r="K30" s="54"/>
      <c r="N30" s="62">
        <v>138003702</v>
      </c>
      <c r="O30" s="56">
        <v>3033820613</v>
      </c>
      <c r="P30" s="44" t="s">
        <v>92</v>
      </c>
      <c r="Q30" s="57">
        <v>70256</v>
      </c>
      <c r="R30" s="58" t="s">
        <v>71</v>
      </c>
      <c r="S30" s="45"/>
      <c r="T30" s="45"/>
      <c r="U30" s="59">
        <v>423007289</v>
      </c>
      <c r="V30" s="58" t="s">
        <v>151</v>
      </c>
      <c r="W30" s="60" t="s">
        <v>79</v>
      </c>
      <c r="X30" s="58" t="s">
        <v>90</v>
      </c>
      <c r="Y30" s="61">
        <f>40733+(6*364)</f>
        <v>42917</v>
      </c>
      <c r="Z30" s="44">
        <f t="shared" ca="1" si="0"/>
        <v>7</v>
      </c>
    </row>
    <row r="31" spans="1:26" x14ac:dyDescent="0.25">
      <c r="A31" s="52" t="s">
        <v>152</v>
      </c>
      <c r="B31" s="52" t="s">
        <v>137</v>
      </c>
      <c r="C31" s="53">
        <v>62493</v>
      </c>
      <c r="D31" s="54">
        <v>75089</v>
      </c>
      <c r="K31" s="54"/>
      <c r="N31" s="62">
        <v>141001501</v>
      </c>
      <c r="O31" s="56">
        <v>9708405900</v>
      </c>
      <c r="P31" s="44" t="s">
        <v>99</v>
      </c>
      <c r="Q31" s="57">
        <v>53650</v>
      </c>
      <c r="R31" s="58" t="s">
        <v>71</v>
      </c>
      <c r="S31" s="45"/>
      <c r="T31" s="45"/>
      <c r="U31" s="59">
        <v>851006352</v>
      </c>
      <c r="V31" s="58" t="s">
        <v>153</v>
      </c>
      <c r="W31" s="60" t="s">
        <v>154</v>
      </c>
      <c r="X31" s="58" t="s">
        <v>80</v>
      </c>
      <c r="Y31" s="61">
        <f>41603+(6*364)</f>
        <v>43787</v>
      </c>
      <c r="Z31" s="44">
        <f t="shared" ca="1" si="0"/>
        <v>5</v>
      </c>
    </row>
    <row r="32" spans="1:26" x14ac:dyDescent="0.25">
      <c r="A32" s="52" t="s">
        <v>155</v>
      </c>
      <c r="B32" s="52" t="s">
        <v>137</v>
      </c>
      <c r="C32" s="53">
        <v>76653</v>
      </c>
      <c r="D32" s="54">
        <v>67907</v>
      </c>
      <c r="K32" s="54"/>
      <c r="N32" s="62">
        <v>142001059</v>
      </c>
      <c r="O32" s="56">
        <v>9707280453</v>
      </c>
      <c r="P32" s="44" t="s">
        <v>82</v>
      </c>
      <c r="Q32" s="57">
        <v>115642</v>
      </c>
      <c r="R32" s="58" t="s">
        <v>77</v>
      </c>
      <c r="S32" s="45"/>
      <c r="T32" s="45"/>
      <c r="U32" s="59">
        <v>555007424</v>
      </c>
      <c r="V32" s="58" t="s">
        <v>156</v>
      </c>
      <c r="W32" s="60" t="s">
        <v>101</v>
      </c>
      <c r="X32" s="58" t="s">
        <v>90</v>
      </c>
      <c r="Y32" s="61">
        <f>37267+(6*364)</f>
        <v>39451</v>
      </c>
      <c r="Z32" s="44">
        <f t="shared" ca="1" si="0"/>
        <v>17</v>
      </c>
    </row>
    <row r="33" spans="1:26" x14ac:dyDescent="0.25">
      <c r="A33" s="52" t="s">
        <v>157</v>
      </c>
      <c r="B33" s="52" t="s">
        <v>137</v>
      </c>
      <c r="C33" s="53">
        <v>82344</v>
      </c>
      <c r="D33" s="54">
        <v>81098</v>
      </c>
      <c r="K33" s="54"/>
      <c r="N33" s="62">
        <v>144003347</v>
      </c>
      <c r="O33" s="56">
        <v>9703386758</v>
      </c>
      <c r="P33" s="44" t="s">
        <v>70</v>
      </c>
      <c r="Q33" s="57">
        <v>91258</v>
      </c>
      <c r="R33" s="58" t="s">
        <v>71</v>
      </c>
      <c r="S33" s="45"/>
      <c r="T33" s="45"/>
      <c r="U33" s="59">
        <v>907004260</v>
      </c>
      <c r="V33" s="58" t="s">
        <v>158</v>
      </c>
      <c r="W33" s="60" t="s">
        <v>89</v>
      </c>
      <c r="X33" s="58" t="s">
        <v>159</v>
      </c>
      <c r="Y33" s="61">
        <f>38281+(6*364)</f>
        <v>40465</v>
      </c>
      <c r="Z33" s="44">
        <f t="shared" ca="1" si="0"/>
        <v>14</v>
      </c>
    </row>
    <row r="34" spans="1:26" x14ac:dyDescent="0.25">
      <c r="A34" s="52" t="s">
        <v>146</v>
      </c>
      <c r="B34" s="52" t="s">
        <v>160</v>
      </c>
      <c r="C34" s="53">
        <v>19691</v>
      </c>
      <c r="D34" s="54">
        <v>73879</v>
      </c>
      <c r="K34" s="54"/>
      <c r="N34" s="62">
        <v>144004265</v>
      </c>
      <c r="O34" s="56">
        <v>9705915044</v>
      </c>
      <c r="P34" s="44" t="s">
        <v>92</v>
      </c>
      <c r="Q34" s="57">
        <v>51722</v>
      </c>
      <c r="R34" s="58" t="s">
        <v>71</v>
      </c>
      <c r="S34" s="45"/>
      <c r="T34" s="45"/>
      <c r="U34" s="59">
        <v>956006053</v>
      </c>
      <c r="V34" s="58" t="s">
        <v>161</v>
      </c>
      <c r="W34" s="60" t="s">
        <v>73</v>
      </c>
      <c r="X34" s="58" t="s">
        <v>74</v>
      </c>
      <c r="Y34" s="61">
        <f>35348+(6*364)</f>
        <v>37532</v>
      </c>
      <c r="Z34" s="44">
        <f t="shared" ca="1" si="0"/>
        <v>22</v>
      </c>
    </row>
    <row r="35" spans="1:26" x14ac:dyDescent="0.25">
      <c r="A35" s="52" t="s">
        <v>162</v>
      </c>
      <c r="B35" s="52" t="s">
        <v>160</v>
      </c>
      <c r="C35" s="53">
        <v>89784</v>
      </c>
      <c r="D35" s="54">
        <v>91212</v>
      </c>
      <c r="K35" s="54"/>
      <c r="N35" s="62">
        <v>147000486</v>
      </c>
      <c r="O35" s="56">
        <v>9707179128</v>
      </c>
      <c r="P35" s="44" t="s">
        <v>82</v>
      </c>
      <c r="Q35" s="57">
        <v>51653</v>
      </c>
      <c r="R35" s="58" t="s">
        <v>71</v>
      </c>
      <c r="S35" s="45"/>
      <c r="T35" s="45"/>
      <c r="U35" s="59">
        <v>396007092</v>
      </c>
      <c r="V35" s="58" t="s">
        <v>163</v>
      </c>
      <c r="W35" s="60" t="s">
        <v>73</v>
      </c>
      <c r="X35" s="58" t="s">
        <v>94</v>
      </c>
      <c r="Y35" s="61">
        <f>36073+(6*364)</f>
        <v>38257</v>
      </c>
      <c r="Z35" s="44">
        <f t="shared" ca="1" si="0"/>
        <v>20</v>
      </c>
    </row>
    <row r="36" spans="1:26" x14ac:dyDescent="0.25">
      <c r="A36" s="52" t="s">
        <v>164</v>
      </c>
      <c r="B36" s="52" t="s">
        <v>160</v>
      </c>
      <c r="C36" s="53">
        <v>75580</v>
      </c>
      <c r="D36" s="54">
        <v>73697</v>
      </c>
      <c r="K36" s="54"/>
      <c r="N36" s="62">
        <v>148004991</v>
      </c>
      <c r="O36" s="56">
        <v>7191614846</v>
      </c>
      <c r="P36" s="44" t="s">
        <v>92</v>
      </c>
      <c r="Q36" s="57">
        <v>44325</v>
      </c>
      <c r="R36" s="58" t="s">
        <v>109</v>
      </c>
      <c r="S36" s="45"/>
      <c r="T36" s="45"/>
      <c r="U36" s="59">
        <v>939009698</v>
      </c>
      <c r="V36" s="58" t="s">
        <v>165</v>
      </c>
      <c r="W36" s="60" t="s">
        <v>79</v>
      </c>
      <c r="X36" s="58" t="s">
        <v>80</v>
      </c>
      <c r="Y36" s="61">
        <f>40271+(6*364)</f>
        <v>42455</v>
      </c>
      <c r="Z36" s="44">
        <f t="shared" ca="1" si="0"/>
        <v>8</v>
      </c>
    </row>
    <row r="37" spans="1:26" x14ac:dyDescent="0.25">
      <c r="A37" s="52" t="s">
        <v>166</v>
      </c>
      <c r="B37" s="52" t="s">
        <v>160</v>
      </c>
      <c r="C37" s="53">
        <v>26930</v>
      </c>
      <c r="D37" s="54">
        <v>64261</v>
      </c>
      <c r="K37" s="54"/>
      <c r="N37" s="62">
        <v>148008441</v>
      </c>
      <c r="O37" s="56">
        <v>5055344270</v>
      </c>
      <c r="P37" s="44" t="s">
        <v>99</v>
      </c>
      <c r="Q37" s="57">
        <v>56005</v>
      </c>
      <c r="R37" s="58" t="s">
        <v>71</v>
      </c>
      <c r="S37" s="45"/>
      <c r="T37" s="45"/>
      <c r="U37" s="59">
        <v>391009178</v>
      </c>
      <c r="V37" s="58" t="s">
        <v>167</v>
      </c>
      <c r="W37" s="60" t="s">
        <v>89</v>
      </c>
      <c r="X37" s="58" t="s">
        <v>80</v>
      </c>
      <c r="Y37" s="61">
        <f>41942+(6*364)</f>
        <v>44126</v>
      </c>
      <c r="Z37" s="44">
        <f t="shared" ca="1" si="0"/>
        <v>4</v>
      </c>
    </row>
    <row r="38" spans="1:26" x14ac:dyDescent="0.25">
      <c r="A38" s="52" t="s">
        <v>72</v>
      </c>
      <c r="B38" s="52" t="s">
        <v>107</v>
      </c>
      <c r="C38" s="53">
        <v>80484</v>
      </c>
      <c r="D38" s="54">
        <v>69106</v>
      </c>
      <c r="K38" s="54"/>
      <c r="N38" s="62">
        <v>151009646</v>
      </c>
      <c r="O38" s="56">
        <v>7192511732</v>
      </c>
      <c r="P38" s="44"/>
      <c r="Q38" s="57">
        <v>33834</v>
      </c>
      <c r="R38" s="58" t="s">
        <v>87</v>
      </c>
      <c r="S38" s="45"/>
      <c r="T38" s="45"/>
      <c r="U38" s="59">
        <v>635001700</v>
      </c>
      <c r="V38" s="58" t="s">
        <v>168</v>
      </c>
      <c r="W38" s="60" t="s">
        <v>89</v>
      </c>
      <c r="X38" s="58" t="s">
        <v>80</v>
      </c>
      <c r="Y38" s="61">
        <f>35203+(6*364)</f>
        <v>37387</v>
      </c>
      <c r="Z38" s="44">
        <f t="shared" ca="1" si="0"/>
        <v>22</v>
      </c>
    </row>
    <row r="39" spans="1:26" x14ac:dyDescent="0.25">
      <c r="A39" s="52" t="s">
        <v>110</v>
      </c>
      <c r="B39" s="52" t="s">
        <v>107</v>
      </c>
      <c r="C39" s="53">
        <v>19972</v>
      </c>
      <c r="D39" s="54">
        <v>79103</v>
      </c>
      <c r="K39" s="54"/>
      <c r="N39" s="62">
        <v>152000265</v>
      </c>
      <c r="O39" s="56">
        <v>7193957018</v>
      </c>
      <c r="P39" s="44" t="s">
        <v>92</v>
      </c>
      <c r="Q39" s="57">
        <v>91959</v>
      </c>
      <c r="R39" s="58" t="s">
        <v>71</v>
      </c>
      <c r="S39" s="45"/>
      <c r="T39" s="45"/>
      <c r="U39" s="59">
        <v>655006620</v>
      </c>
      <c r="V39" s="58" t="s">
        <v>169</v>
      </c>
      <c r="W39" s="60" t="s">
        <v>84</v>
      </c>
      <c r="X39" s="58" t="s">
        <v>80</v>
      </c>
      <c r="Y39" s="61">
        <f>37700+(6*364)</f>
        <v>39884</v>
      </c>
      <c r="Z39" s="44">
        <f t="shared" ca="1" si="0"/>
        <v>15</v>
      </c>
    </row>
    <row r="40" spans="1:26" x14ac:dyDescent="0.25">
      <c r="A40" s="52" t="s">
        <v>170</v>
      </c>
      <c r="B40" s="52" t="s">
        <v>107</v>
      </c>
      <c r="C40" s="53">
        <v>43975</v>
      </c>
      <c r="D40" s="54">
        <v>31778</v>
      </c>
      <c r="K40" s="54"/>
      <c r="N40" s="62">
        <v>154001757</v>
      </c>
      <c r="O40" s="56">
        <v>3034626281</v>
      </c>
      <c r="P40" s="44"/>
      <c r="Q40" s="57">
        <v>28167</v>
      </c>
      <c r="R40" s="58" t="s">
        <v>87</v>
      </c>
      <c r="S40" s="45"/>
      <c r="T40" s="45"/>
      <c r="U40" s="59">
        <v>312001254</v>
      </c>
      <c r="V40" s="58" t="s">
        <v>171</v>
      </c>
      <c r="W40" s="60" t="s">
        <v>89</v>
      </c>
      <c r="X40" s="58" t="s">
        <v>90</v>
      </c>
      <c r="Y40" s="61">
        <f>38229+(6*364)</f>
        <v>40413</v>
      </c>
      <c r="Z40" s="44">
        <f t="shared" ca="1" si="0"/>
        <v>14</v>
      </c>
    </row>
    <row r="41" spans="1:26" x14ac:dyDescent="0.25">
      <c r="A41" s="52" t="s">
        <v>172</v>
      </c>
      <c r="B41" s="52" t="s">
        <v>107</v>
      </c>
      <c r="C41" s="53">
        <v>73360</v>
      </c>
      <c r="D41" s="54">
        <v>131654</v>
      </c>
      <c r="K41" s="54"/>
      <c r="N41" s="62">
        <v>154003893</v>
      </c>
      <c r="O41" s="56">
        <v>5056104400</v>
      </c>
      <c r="P41" s="44" t="s">
        <v>99</v>
      </c>
      <c r="Q41" s="57">
        <v>102051</v>
      </c>
      <c r="R41" s="58" t="s">
        <v>71</v>
      </c>
      <c r="S41" s="45"/>
      <c r="T41" s="45"/>
      <c r="U41" s="59">
        <v>102008490</v>
      </c>
      <c r="V41" s="58" t="s">
        <v>136</v>
      </c>
      <c r="W41" s="60" t="s">
        <v>79</v>
      </c>
      <c r="X41" s="58" t="s">
        <v>173</v>
      </c>
      <c r="Y41" s="61">
        <f>39699+(6*364)</f>
        <v>41883</v>
      </c>
      <c r="Z41" s="44">
        <f t="shared" ca="1" si="0"/>
        <v>10</v>
      </c>
    </row>
    <row r="42" spans="1:26" x14ac:dyDescent="0.25">
      <c r="A42" s="52" t="s">
        <v>174</v>
      </c>
      <c r="B42" s="52" t="s">
        <v>107</v>
      </c>
      <c r="C42" s="53">
        <v>26003</v>
      </c>
      <c r="D42" s="54">
        <v>95970</v>
      </c>
      <c r="K42" s="54"/>
      <c r="N42" s="62">
        <v>155001471</v>
      </c>
      <c r="O42" s="56">
        <v>5053498222</v>
      </c>
      <c r="P42" s="44" t="s">
        <v>99</v>
      </c>
      <c r="Q42" s="57">
        <v>88900</v>
      </c>
      <c r="R42" s="58" t="s">
        <v>71</v>
      </c>
      <c r="S42" s="45"/>
      <c r="T42" s="45"/>
      <c r="U42" s="59">
        <v>103001637</v>
      </c>
      <c r="V42" s="58" t="s">
        <v>175</v>
      </c>
      <c r="W42" s="60" t="s">
        <v>84</v>
      </c>
      <c r="X42" s="58" t="s">
        <v>176</v>
      </c>
      <c r="Y42" s="61">
        <f>42216+(6*364)</f>
        <v>44400</v>
      </c>
      <c r="Z42" s="44">
        <f t="shared" ca="1" si="0"/>
        <v>3</v>
      </c>
    </row>
    <row r="43" spans="1:26" x14ac:dyDescent="0.25">
      <c r="A43" s="52" t="s">
        <v>177</v>
      </c>
      <c r="B43" s="52" t="s">
        <v>107</v>
      </c>
      <c r="C43" s="53">
        <v>95270</v>
      </c>
      <c r="D43" s="54">
        <v>33455</v>
      </c>
      <c r="K43" s="54"/>
      <c r="N43" s="62">
        <v>155002848</v>
      </c>
      <c r="O43" s="56">
        <v>5051517218</v>
      </c>
      <c r="P43" s="44" t="s">
        <v>70</v>
      </c>
      <c r="Q43" s="57">
        <v>119718</v>
      </c>
      <c r="R43" s="58" t="s">
        <v>71</v>
      </c>
      <c r="S43" s="45"/>
      <c r="T43" s="45"/>
      <c r="U43" s="59">
        <v>740009940</v>
      </c>
      <c r="V43" s="58" t="s">
        <v>178</v>
      </c>
      <c r="W43" s="60" t="s">
        <v>79</v>
      </c>
      <c r="X43" s="58" t="s">
        <v>94</v>
      </c>
      <c r="Y43" s="61">
        <f>37018+(6*364)</f>
        <v>39202</v>
      </c>
      <c r="Z43" s="44">
        <f t="shared" ca="1" si="0"/>
        <v>17</v>
      </c>
    </row>
    <row r="44" spans="1:26" x14ac:dyDescent="0.25">
      <c r="A44" s="52" t="s">
        <v>179</v>
      </c>
      <c r="B44" s="52" t="s">
        <v>107</v>
      </c>
      <c r="C44" s="53">
        <v>60128</v>
      </c>
      <c r="D44" s="54">
        <v>100423</v>
      </c>
      <c r="K44" s="54"/>
      <c r="N44" s="62">
        <v>155006121</v>
      </c>
      <c r="O44" s="56">
        <v>5052163497</v>
      </c>
      <c r="P44" s="44"/>
      <c r="Q44" s="57">
        <v>89613</v>
      </c>
      <c r="R44" s="58" t="s">
        <v>87</v>
      </c>
      <c r="S44" s="45"/>
      <c r="T44" s="45"/>
      <c r="U44" s="59">
        <v>814006756</v>
      </c>
      <c r="V44" s="58" t="s">
        <v>180</v>
      </c>
      <c r="W44" s="60" t="s">
        <v>73</v>
      </c>
      <c r="X44" s="58" t="s">
        <v>159</v>
      </c>
      <c r="Y44" s="61">
        <f>37597+(6*364)</f>
        <v>39781</v>
      </c>
      <c r="Z44" s="44">
        <f t="shared" ca="1" si="0"/>
        <v>16</v>
      </c>
    </row>
    <row r="45" spans="1:26" x14ac:dyDescent="0.25">
      <c r="A45" s="52" t="s">
        <v>181</v>
      </c>
      <c r="B45" s="52" t="s">
        <v>107</v>
      </c>
      <c r="C45" s="53">
        <v>96609</v>
      </c>
      <c r="D45" s="54">
        <v>71138</v>
      </c>
      <c r="K45" s="54"/>
      <c r="N45" s="62">
        <v>158001056</v>
      </c>
      <c r="O45" s="56">
        <v>7191391475</v>
      </c>
      <c r="P45" s="44" t="s">
        <v>70</v>
      </c>
      <c r="Q45" s="57">
        <v>120609</v>
      </c>
      <c r="R45" s="58" t="s">
        <v>71</v>
      </c>
      <c r="S45" s="45"/>
      <c r="T45" s="45"/>
      <c r="U45" s="59">
        <v>142001059</v>
      </c>
      <c r="V45" s="58" t="s">
        <v>182</v>
      </c>
      <c r="W45" s="60" t="s">
        <v>73</v>
      </c>
      <c r="X45" s="58" t="s">
        <v>107</v>
      </c>
      <c r="Y45" s="61">
        <f>35396+(6*364)</f>
        <v>37580</v>
      </c>
      <c r="Z45" s="44">
        <f t="shared" ca="1" si="0"/>
        <v>22</v>
      </c>
    </row>
    <row r="46" spans="1:26" x14ac:dyDescent="0.25">
      <c r="A46" s="52" t="s">
        <v>183</v>
      </c>
      <c r="B46" s="52" t="s">
        <v>107</v>
      </c>
      <c r="C46" s="53">
        <v>16606</v>
      </c>
      <c r="D46" s="54">
        <v>110160</v>
      </c>
      <c r="K46" s="54"/>
      <c r="N46" s="62">
        <v>160000416</v>
      </c>
      <c r="O46" s="56">
        <v>5056053287</v>
      </c>
      <c r="P46" s="44" t="s">
        <v>92</v>
      </c>
      <c r="Q46" s="57">
        <v>87854</v>
      </c>
      <c r="R46" s="58" t="s">
        <v>71</v>
      </c>
      <c r="S46" s="45"/>
      <c r="T46" s="45"/>
      <c r="U46" s="59">
        <v>263004697</v>
      </c>
      <c r="V46" s="58" t="s">
        <v>184</v>
      </c>
      <c r="W46" s="60" t="s">
        <v>89</v>
      </c>
      <c r="X46" s="58" t="s">
        <v>173</v>
      </c>
      <c r="Y46" s="61">
        <f>37280+(6*364)</f>
        <v>39464</v>
      </c>
      <c r="Z46" s="44">
        <f t="shared" ca="1" si="0"/>
        <v>17</v>
      </c>
    </row>
    <row r="47" spans="1:26" x14ac:dyDescent="0.25">
      <c r="A47" s="52" t="s">
        <v>185</v>
      </c>
      <c r="B47" s="52" t="s">
        <v>107</v>
      </c>
      <c r="C47" s="53">
        <v>17356</v>
      </c>
      <c r="D47" s="54">
        <v>110916</v>
      </c>
      <c r="K47" s="54"/>
      <c r="N47" s="62">
        <v>161000531</v>
      </c>
      <c r="O47" s="56">
        <v>5051569304</v>
      </c>
      <c r="P47" s="44"/>
      <c r="Q47" s="57">
        <v>76187</v>
      </c>
      <c r="R47" s="58" t="s">
        <v>109</v>
      </c>
      <c r="S47" s="45"/>
      <c r="T47" s="45"/>
      <c r="U47" s="59">
        <v>531009193</v>
      </c>
      <c r="V47" s="58" t="s">
        <v>186</v>
      </c>
      <c r="W47" s="60" t="s">
        <v>89</v>
      </c>
      <c r="X47" s="58" t="s">
        <v>90</v>
      </c>
      <c r="Y47" s="61">
        <f>35903+(6*364)</f>
        <v>38087</v>
      </c>
      <c r="Z47" s="44">
        <f t="shared" ca="1" si="0"/>
        <v>20</v>
      </c>
    </row>
    <row r="48" spans="1:26" x14ac:dyDescent="0.25">
      <c r="A48" s="52" t="s">
        <v>187</v>
      </c>
      <c r="B48" s="52" t="s">
        <v>107</v>
      </c>
      <c r="C48" s="53">
        <v>11917</v>
      </c>
      <c r="D48" s="54">
        <v>127433</v>
      </c>
      <c r="K48" s="54"/>
      <c r="N48" s="62">
        <v>161005645</v>
      </c>
      <c r="O48" s="56">
        <v>3031282202</v>
      </c>
      <c r="P48" s="44" t="s">
        <v>99</v>
      </c>
      <c r="Q48" s="57">
        <v>45048</v>
      </c>
      <c r="R48" s="58" t="s">
        <v>71</v>
      </c>
      <c r="S48" s="45"/>
      <c r="T48" s="45"/>
      <c r="U48" s="59">
        <v>493003141</v>
      </c>
      <c r="V48" s="58" t="s">
        <v>170</v>
      </c>
      <c r="W48" s="60" t="s">
        <v>89</v>
      </c>
      <c r="X48" s="58" t="s">
        <v>173</v>
      </c>
      <c r="Y48" s="61">
        <f>38330+(6*364)</f>
        <v>40514</v>
      </c>
      <c r="Z48" s="44">
        <f t="shared" ca="1" si="0"/>
        <v>14</v>
      </c>
    </row>
    <row r="49" spans="1:26" x14ac:dyDescent="0.25">
      <c r="A49" s="52" t="s">
        <v>188</v>
      </c>
      <c r="B49" s="52" t="s">
        <v>107</v>
      </c>
      <c r="C49" s="53">
        <v>35830</v>
      </c>
      <c r="D49" s="54">
        <v>60354</v>
      </c>
      <c r="K49" s="54"/>
      <c r="N49" s="62">
        <v>164006417</v>
      </c>
      <c r="O49" s="56">
        <v>9705250630</v>
      </c>
      <c r="P49" s="44" t="s">
        <v>70</v>
      </c>
      <c r="Q49" s="57">
        <v>76999</v>
      </c>
      <c r="R49" s="58" t="s">
        <v>71</v>
      </c>
      <c r="S49" s="45"/>
      <c r="T49" s="45"/>
      <c r="U49" s="59">
        <v>354005778</v>
      </c>
      <c r="V49" s="58" t="s">
        <v>189</v>
      </c>
      <c r="W49" s="60" t="s">
        <v>89</v>
      </c>
      <c r="X49" s="58" t="s">
        <v>190</v>
      </c>
      <c r="Y49" s="61">
        <f>38173+(6*364)</f>
        <v>40357</v>
      </c>
      <c r="Z49" s="44">
        <f t="shared" ca="1" si="0"/>
        <v>14</v>
      </c>
    </row>
    <row r="50" spans="1:26" x14ac:dyDescent="0.25">
      <c r="A50" s="52" t="s">
        <v>191</v>
      </c>
      <c r="B50" s="52" t="s">
        <v>107</v>
      </c>
      <c r="C50" s="53">
        <v>94984</v>
      </c>
      <c r="D50" s="54">
        <v>115282</v>
      </c>
      <c r="K50" s="54"/>
      <c r="N50" s="62">
        <v>165000809</v>
      </c>
      <c r="O50" s="56">
        <v>9706853122</v>
      </c>
      <c r="P50" s="44" t="s">
        <v>82</v>
      </c>
      <c r="Q50" s="57">
        <v>89140</v>
      </c>
      <c r="R50" s="58" t="s">
        <v>71</v>
      </c>
      <c r="S50" s="45"/>
      <c r="T50" s="45"/>
      <c r="U50" s="59">
        <v>401000302</v>
      </c>
      <c r="V50" s="58" t="s">
        <v>172</v>
      </c>
      <c r="W50" s="60" t="s">
        <v>89</v>
      </c>
      <c r="X50" s="58" t="s">
        <v>94</v>
      </c>
      <c r="Y50" s="61">
        <f>35158+(6*364)</f>
        <v>37342</v>
      </c>
      <c r="Z50" s="44">
        <f t="shared" ca="1" si="0"/>
        <v>22</v>
      </c>
    </row>
    <row r="51" spans="1:26" x14ac:dyDescent="0.25">
      <c r="A51" s="52" t="s">
        <v>192</v>
      </c>
      <c r="B51" s="52" t="s">
        <v>107</v>
      </c>
      <c r="C51" s="53">
        <v>45301</v>
      </c>
      <c r="D51" s="54">
        <v>63255</v>
      </c>
      <c r="K51" s="54"/>
      <c r="N51" s="62">
        <v>165000948</v>
      </c>
      <c r="O51" s="56">
        <v>9701201242</v>
      </c>
      <c r="P51" s="44"/>
      <c r="Q51" s="57">
        <v>74236</v>
      </c>
      <c r="R51" s="58" t="s">
        <v>87</v>
      </c>
      <c r="S51" s="45"/>
      <c r="T51" s="45"/>
      <c r="U51" s="59">
        <v>154003893</v>
      </c>
      <c r="V51" s="58" t="s">
        <v>193</v>
      </c>
      <c r="W51" s="60" t="s">
        <v>89</v>
      </c>
      <c r="X51" s="58" t="s">
        <v>94</v>
      </c>
      <c r="Y51" s="61">
        <f>35022+(6*364)</f>
        <v>37206</v>
      </c>
      <c r="Z51" s="44">
        <f t="shared" ca="1" si="0"/>
        <v>23</v>
      </c>
    </row>
    <row r="52" spans="1:26" x14ac:dyDescent="0.25">
      <c r="A52" s="52" t="s">
        <v>194</v>
      </c>
      <c r="B52" s="52" t="s">
        <v>107</v>
      </c>
      <c r="C52" s="53">
        <v>78559</v>
      </c>
      <c r="D52" s="54">
        <v>74533</v>
      </c>
      <c r="K52" s="54"/>
      <c r="N52" s="62">
        <v>165001710</v>
      </c>
      <c r="O52" s="56">
        <v>7194106437</v>
      </c>
      <c r="P52" s="44" t="s">
        <v>92</v>
      </c>
      <c r="Q52" s="57">
        <v>57896</v>
      </c>
      <c r="R52" s="58" t="s">
        <v>77</v>
      </c>
      <c r="S52" s="45"/>
      <c r="T52" s="45"/>
      <c r="U52" s="59">
        <v>203002596</v>
      </c>
      <c r="V52" s="58" t="s">
        <v>81</v>
      </c>
      <c r="W52" s="60" t="s">
        <v>73</v>
      </c>
      <c r="X52" s="58" t="s">
        <v>107</v>
      </c>
      <c r="Y52" s="61">
        <f>37753+(6*364)</f>
        <v>39937</v>
      </c>
      <c r="Z52" s="44">
        <f t="shared" ca="1" si="0"/>
        <v>15</v>
      </c>
    </row>
    <row r="53" spans="1:26" x14ac:dyDescent="0.25">
      <c r="A53" s="52" t="s">
        <v>195</v>
      </c>
      <c r="B53" s="52" t="s">
        <v>107</v>
      </c>
      <c r="C53" s="53">
        <v>67957</v>
      </c>
      <c r="D53" s="54">
        <v>71312</v>
      </c>
      <c r="K53" s="54"/>
      <c r="N53" s="62">
        <v>167004590</v>
      </c>
      <c r="O53" s="56">
        <v>5054982487</v>
      </c>
      <c r="P53" s="44"/>
      <c r="Q53" s="57">
        <v>38983</v>
      </c>
      <c r="R53" s="58" t="s">
        <v>87</v>
      </c>
      <c r="S53" s="45"/>
      <c r="T53" s="45"/>
      <c r="U53" s="59">
        <v>165000948</v>
      </c>
      <c r="V53" s="58" t="s">
        <v>196</v>
      </c>
      <c r="W53" s="60" t="s">
        <v>79</v>
      </c>
      <c r="X53" s="58" t="s">
        <v>129</v>
      </c>
      <c r="Y53" s="61">
        <f>37375+(6*364)</f>
        <v>39559</v>
      </c>
      <c r="Z53" s="44">
        <f t="shared" ca="1" si="0"/>
        <v>16</v>
      </c>
    </row>
    <row r="54" spans="1:26" x14ac:dyDescent="0.25">
      <c r="A54" s="52" t="s">
        <v>197</v>
      </c>
      <c r="B54" s="52" t="s">
        <v>107</v>
      </c>
      <c r="C54" s="53">
        <v>15264</v>
      </c>
      <c r="D54" s="54">
        <v>105416</v>
      </c>
      <c r="K54" s="54"/>
      <c r="N54" s="62">
        <v>168009763</v>
      </c>
      <c r="O54" s="56">
        <v>3033640748</v>
      </c>
      <c r="P54" s="44" t="s">
        <v>99</v>
      </c>
      <c r="Q54" s="57">
        <v>67314</v>
      </c>
      <c r="R54" s="58" t="s">
        <v>71</v>
      </c>
      <c r="S54" s="45"/>
      <c r="T54" s="45"/>
      <c r="U54" s="59">
        <v>950008174</v>
      </c>
      <c r="V54" s="58" t="s">
        <v>198</v>
      </c>
      <c r="W54" s="60" t="s">
        <v>79</v>
      </c>
      <c r="X54" s="58" t="s">
        <v>85</v>
      </c>
      <c r="Y54" s="61">
        <f>38864+(6*364)</f>
        <v>41048</v>
      </c>
      <c r="Z54" s="44">
        <f t="shared" ca="1" si="0"/>
        <v>12</v>
      </c>
    </row>
    <row r="55" spans="1:26" x14ac:dyDescent="0.25">
      <c r="A55" s="52" t="s">
        <v>199</v>
      </c>
      <c r="B55" s="52" t="s">
        <v>107</v>
      </c>
      <c r="C55" s="53">
        <v>26118</v>
      </c>
      <c r="D55" s="54">
        <v>119182</v>
      </c>
      <c r="K55" s="54"/>
      <c r="N55" s="62">
        <v>172004659</v>
      </c>
      <c r="O55" s="56">
        <v>3034983657</v>
      </c>
      <c r="P55" s="44" t="s">
        <v>99</v>
      </c>
      <c r="Q55" s="57">
        <v>87165</v>
      </c>
      <c r="R55" s="58" t="s">
        <v>71</v>
      </c>
      <c r="S55" s="45"/>
      <c r="T55" s="45"/>
      <c r="U55" s="59">
        <v>300000586</v>
      </c>
      <c r="V55" s="58" t="s">
        <v>200</v>
      </c>
      <c r="W55" s="60" t="s">
        <v>101</v>
      </c>
      <c r="X55" s="58" t="s">
        <v>173</v>
      </c>
      <c r="Y55" s="61">
        <f>35378+(6*364)</f>
        <v>37562</v>
      </c>
      <c r="Z55" s="44">
        <f t="shared" ca="1" si="0"/>
        <v>22</v>
      </c>
    </row>
    <row r="56" spans="1:26" x14ac:dyDescent="0.25">
      <c r="A56" s="52" t="s">
        <v>201</v>
      </c>
      <c r="B56" s="52" t="s">
        <v>107</v>
      </c>
      <c r="C56" s="53">
        <v>90615</v>
      </c>
      <c r="D56" s="54">
        <v>100322</v>
      </c>
      <c r="K56" s="54"/>
      <c r="N56" s="62">
        <v>174008010</v>
      </c>
      <c r="O56" s="56">
        <v>3035035104</v>
      </c>
      <c r="P56" s="44"/>
      <c r="Q56" s="57">
        <v>71153</v>
      </c>
      <c r="R56" s="58" t="s">
        <v>87</v>
      </c>
      <c r="S56" s="45"/>
      <c r="T56" s="45"/>
      <c r="U56" s="59">
        <v>684009931</v>
      </c>
      <c r="V56" s="58" t="s">
        <v>202</v>
      </c>
      <c r="W56" s="60" t="s">
        <v>84</v>
      </c>
      <c r="X56" s="58" t="s">
        <v>173</v>
      </c>
      <c r="Y56" s="61">
        <f>35472+(6*364)</f>
        <v>37656</v>
      </c>
      <c r="Z56" s="44">
        <f t="shared" ca="1" si="0"/>
        <v>22</v>
      </c>
    </row>
    <row r="57" spans="1:26" x14ac:dyDescent="0.25">
      <c r="A57" s="52" t="s">
        <v>203</v>
      </c>
      <c r="B57" s="52" t="s">
        <v>107</v>
      </c>
      <c r="C57" s="53">
        <v>89662</v>
      </c>
      <c r="D57" s="54">
        <v>80180</v>
      </c>
      <c r="K57" s="54"/>
      <c r="N57" s="62">
        <v>175006170</v>
      </c>
      <c r="O57" s="56">
        <v>3034331646</v>
      </c>
      <c r="P57" s="44" t="s">
        <v>92</v>
      </c>
      <c r="Q57" s="57">
        <v>69107</v>
      </c>
      <c r="R57" s="58" t="s">
        <v>71</v>
      </c>
      <c r="S57" s="45"/>
      <c r="T57" s="45"/>
      <c r="U57" s="59">
        <v>213009558</v>
      </c>
      <c r="V57" s="58" t="s">
        <v>204</v>
      </c>
      <c r="W57" s="60" t="s">
        <v>79</v>
      </c>
      <c r="X57" s="58" t="s">
        <v>205</v>
      </c>
      <c r="Y57" s="61">
        <f>35512+(6*364)</f>
        <v>37696</v>
      </c>
      <c r="Z57" s="44">
        <f t="shared" ca="1" si="0"/>
        <v>21</v>
      </c>
    </row>
    <row r="58" spans="1:26" x14ac:dyDescent="0.25">
      <c r="A58" s="52" t="s">
        <v>206</v>
      </c>
      <c r="B58" s="52" t="s">
        <v>107</v>
      </c>
      <c r="C58" s="53">
        <v>43736</v>
      </c>
      <c r="D58" s="54">
        <v>126124</v>
      </c>
      <c r="K58" s="54"/>
      <c r="N58" s="62">
        <v>175007347</v>
      </c>
      <c r="O58" s="56">
        <v>7194323329</v>
      </c>
      <c r="P58" s="44" t="s">
        <v>99</v>
      </c>
      <c r="Q58" s="57">
        <v>58694</v>
      </c>
      <c r="R58" s="58" t="s">
        <v>71</v>
      </c>
      <c r="S58" s="45"/>
      <c r="T58" s="45"/>
      <c r="U58" s="59">
        <v>115003138</v>
      </c>
      <c r="V58" s="58" t="s">
        <v>207</v>
      </c>
      <c r="W58" s="60" t="s">
        <v>89</v>
      </c>
      <c r="X58" s="58" t="s">
        <v>74</v>
      </c>
      <c r="Y58" s="61">
        <f>35041+(6*364)</f>
        <v>37225</v>
      </c>
      <c r="Z58" s="44">
        <f t="shared" ca="1" si="0"/>
        <v>23</v>
      </c>
    </row>
    <row r="59" spans="1:26" x14ac:dyDescent="0.25">
      <c r="A59" s="52" t="s">
        <v>208</v>
      </c>
      <c r="B59" s="52" t="s">
        <v>107</v>
      </c>
      <c r="C59" s="53">
        <v>77205</v>
      </c>
      <c r="D59" s="54">
        <v>119517</v>
      </c>
      <c r="K59" s="54"/>
      <c r="N59" s="62">
        <v>178001161</v>
      </c>
      <c r="O59" s="56">
        <v>7198310129</v>
      </c>
      <c r="P59" s="44" t="s">
        <v>99</v>
      </c>
      <c r="Q59" s="57">
        <v>63237</v>
      </c>
      <c r="R59" s="58" t="s">
        <v>71</v>
      </c>
      <c r="S59" s="45"/>
      <c r="T59" s="45"/>
      <c r="U59" s="59">
        <v>834006980</v>
      </c>
      <c r="V59" s="58" t="s">
        <v>209</v>
      </c>
      <c r="W59" s="60" t="s">
        <v>73</v>
      </c>
      <c r="X59" s="58" t="s">
        <v>80</v>
      </c>
      <c r="Y59" s="61">
        <f>39734+(6*364)</f>
        <v>41918</v>
      </c>
      <c r="Z59" s="44">
        <f t="shared" ca="1" si="0"/>
        <v>10</v>
      </c>
    </row>
    <row r="60" spans="1:26" x14ac:dyDescent="0.25">
      <c r="A60" s="52" t="s">
        <v>210</v>
      </c>
      <c r="B60" s="52" t="s">
        <v>107</v>
      </c>
      <c r="C60" s="53">
        <v>45208</v>
      </c>
      <c r="D60" s="54">
        <v>136587</v>
      </c>
      <c r="K60" s="54"/>
      <c r="N60" s="62">
        <v>178005958</v>
      </c>
      <c r="O60" s="56">
        <v>5056712695</v>
      </c>
      <c r="P60" s="44" t="s">
        <v>99</v>
      </c>
      <c r="Q60" s="57">
        <v>72383</v>
      </c>
      <c r="R60" s="58" t="s">
        <v>77</v>
      </c>
      <c r="S60" s="45"/>
      <c r="T60" s="45"/>
      <c r="U60" s="59">
        <v>662003088</v>
      </c>
      <c r="V60" s="58" t="s">
        <v>211</v>
      </c>
      <c r="W60" s="60" t="s">
        <v>154</v>
      </c>
      <c r="X60" s="58" t="s">
        <v>80</v>
      </c>
      <c r="Y60" s="61">
        <f>41459+(6*364)</f>
        <v>43643</v>
      </c>
      <c r="Z60" s="44">
        <f t="shared" ca="1" si="0"/>
        <v>5</v>
      </c>
    </row>
    <row r="61" spans="1:26" x14ac:dyDescent="0.25">
      <c r="A61" s="52" t="s">
        <v>212</v>
      </c>
      <c r="B61" s="52" t="s">
        <v>107</v>
      </c>
      <c r="C61" s="53">
        <v>48870</v>
      </c>
      <c r="D61" s="54">
        <v>115385</v>
      </c>
      <c r="K61" s="54"/>
      <c r="N61" s="62">
        <v>179001922</v>
      </c>
      <c r="O61" s="56">
        <v>3035394899</v>
      </c>
      <c r="P61" s="44" t="s">
        <v>99</v>
      </c>
      <c r="Q61" s="57">
        <v>128497</v>
      </c>
      <c r="R61" s="58" t="s">
        <v>77</v>
      </c>
      <c r="S61" s="45"/>
      <c r="T61" s="45"/>
      <c r="U61" s="59">
        <v>243004879</v>
      </c>
      <c r="V61" s="58" t="s">
        <v>177</v>
      </c>
      <c r="W61" s="60" t="s">
        <v>89</v>
      </c>
      <c r="X61" s="58" t="s">
        <v>160</v>
      </c>
      <c r="Y61" s="61">
        <f>42076+(6*364)</f>
        <v>44260</v>
      </c>
      <c r="Z61" s="44">
        <f t="shared" ca="1" si="0"/>
        <v>3</v>
      </c>
    </row>
    <row r="62" spans="1:26" x14ac:dyDescent="0.25">
      <c r="A62" s="52" t="s">
        <v>213</v>
      </c>
      <c r="B62" s="52" t="s">
        <v>107</v>
      </c>
      <c r="C62" s="53">
        <v>19735</v>
      </c>
      <c r="D62" s="54">
        <v>77073</v>
      </c>
      <c r="K62" s="54"/>
      <c r="N62" s="62">
        <v>181006747</v>
      </c>
      <c r="O62" s="56">
        <v>3034629972</v>
      </c>
      <c r="P62" s="44" t="s">
        <v>76</v>
      </c>
      <c r="Q62" s="57">
        <v>100615</v>
      </c>
      <c r="R62" s="58" t="s">
        <v>71</v>
      </c>
      <c r="S62" s="45"/>
      <c r="T62" s="45"/>
      <c r="U62" s="59">
        <v>662007569</v>
      </c>
      <c r="V62" s="58" t="s">
        <v>214</v>
      </c>
      <c r="W62" s="60" t="s">
        <v>73</v>
      </c>
      <c r="X62" s="58" t="s">
        <v>94</v>
      </c>
      <c r="Y62" s="61">
        <f>37617+(6*364)</f>
        <v>39801</v>
      </c>
      <c r="Z62" s="44">
        <f t="shared" ca="1" si="0"/>
        <v>16</v>
      </c>
    </row>
    <row r="63" spans="1:26" x14ac:dyDescent="0.25">
      <c r="A63" s="52" t="s">
        <v>215</v>
      </c>
      <c r="B63" s="52" t="s">
        <v>107</v>
      </c>
      <c r="C63" s="53">
        <v>76481</v>
      </c>
      <c r="D63" s="54">
        <v>129151</v>
      </c>
      <c r="K63" s="54"/>
      <c r="N63" s="62">
        <v>183002481</v>
      </c>
      <c r="O63" s="56">
        <v>5058545681</v>
      </c>
      <c r="P63" s="44" t="s">
        <v>82</v>
      </c>
      <c r="Q63" s="57">
        <v>55393</v>
      </c>
      <c r="R63" s="58" t="s">
        <v>71</v>
      </c>
      <c r="S63" s="45"/>
      <c r="T63" s="45"/>
      <c r="U63" s="59">
        <v>164006417</v>
      </c>
      <c r="V63" s="58" t="s">
        <v>216</v>
      </c>
      <c r="W63" s="60" t="s">
        <v>79</v>
      </c>
      <c r="X63" s="58" t="s">
        <v>90</v>
      </c>
      <c r="Y63" s="61">
        <f>40657+(6*364)</f>
        <v>42841</v>
      </c>
      <c r="Z63" s="44">
        <f t="shared" ca="1" si="0"/>
        <v>7</v>
      </c>
    </row>
    <row r="64" spans="1:26" x14ac:dyDescent="0.25">
      <c r="A64" s="52" t="s">
        <v>217</v>
      </c>
      <c r="B64" s="52" t="s">
        <v>107</v>
      </c>
      <c r="C64" s="53">
        <v>34262</v>
      </c>
      <c r="D64" s="54">
        <v>66166</v>
      </c>
      <c r="K64" s="54"/>
      <c r="N64" s="62">
        <v>183005312</v>
      </c>
      <c r="O64" s="56">
        <v>9701162663</v>
      </c>
      <c r="P64" s="44"/>
      <c r="Q64" s="57">
        <v>64329</v>
      </c>
      <c r="R64" s="58" t="s">
        <v>87</v>
      </c>
      <c r="S64" s="45"/>
      <c r="T64" s="45"/>
      <c r="U64" s="59">
        <v>363007260</v>
      </c>
      <c r="V64" s="58" t="s">
        <v>218</v>
      </c>
      <c r="W64" s="60" t="s">
        <v>89</v>
      </c>
      <c r="X64" s="58" t="s">
        <v>90</v>
      </c>
      <c r="Y64" s="61">
        <f>42498+(6*364)</f>
        <v>44682</v>
      </c>
      <c r="Z64" s="44">
        <f t="shared" ca="1" si="0"/>
        <v>2</v>
      </c>
    </row>
    <row r="65" spans="1:26" x14ac:dyDescent="0.25">
      <c r="A65" s="52" t="s">
        <v>219</v>
      </c>
      <c r="B65" s="52" t="s">
        <v>107</v>
      </c>
      <c r="C65" s="53">
        <v>25194</v>
      </c>
      <c r="D65" s="54">
        <v>95432</v>
      </c>
      <c r="K65" s="54"/>
      <c r="N65" s="62">
        <v>184003833</v>
      </c>
      <c r="O65" s="56">
        <v>7192259651</v>
      </c>
      <c r="P65" s="44"/>
      <c r="Q65" s="57">
        <v>38970</v>
      </c>
      <c r="R65" s="58" t="s">
        <v>87</v>
      </c>
      <c r="S65" s="45"/>
      <c r="T65" s="45"/>
      <c r="U65" s="59">
        <v>659009795</v>
      </c>
      <c r="V65" s="58" t="s">
        <v>220</v>
      </c>
      <c r="W65" s="60" t="s">
        <v>73</v>
      </c>
      <c r="X65" s="58" t="s">
        <v>190</v>
      </c>
      <c r="Y65" s="61">
        <f>41071+(6*364)</f>
        <v>43255</v>
      </c>
      <c r="Z65" s="44">
        <f t="shared" ca="1" si="0"/>
        <v>6</v>
      </c>
    </row>
    <row r="66" spans="1:26" x14ac:dyDescent="0.25">
      <c r="A66" s="52" t="s">
        <v>221</v>
      </c>
      <c r="B66" s="52" t="s">
        <v>107</v>
      </c>
      <c r="C66" s="53">
        <v>37084</v>
      </c>
      <c r="D66" s="54">
        <v>52692</v>
      </c>
      <c r="K66" s="54"/>
      <c r="N66" s="62">
        <v>185009581</v>
      </c>
      <c r="O66" s="56">
        <v>9706443692</v>
      </c>
      <c r="P66" s="44"/>
      <c r="Q66" s="57">
        <v>90901</v>
      </c>
      <c r="R66" s="58" t="s">
        <v>87</v>
      </c>
      <c r="S66" s="45"/>
      <c r="T66" s="45"/>
      <c r="U66" s="59">
        <v>884002138</v>
      </c>
      <c r="V66" s="58" t="s">
        <v>222</v>
      </c>
      <c r="W66" s="60" t="s">
        <v>154</v>
      </c>
      <c r="X66" s="58" t="s">
        <v>90</v>
      </c>
      <c r="Y66" s="61">
        <f>36189+(6*364)</f>
        <v>38373</v>
      </c>
      <c r="Z66" s="44">
        <f t="shared" ref="Z66:Z129" ca="1" si="1">DATEDIF(Y66,TODAY(),"Y")</f>
        <v>20</v>
      </c>
    </row>
    <row r="67" spans="1:26" x14ac:dyDescent="0.25">
      <c r="A67" s="52" t="s">
        <v>223</v>
      </c>
      <c r="B67" s="52" t="s">
        <v>107</v>
      </c>
      <c r="C67" s="53">
        <v>80293</v>
      </c>
      <c r="D67" s="54">
        <v>131015</v>
      </c>
      <c r="K67" s="54"/>
      <c r="N67" s="62">
        <v>186003470</v>
      </c>
      <c r="O67" s="56">
        <v>7197194901</v>
      </c>
      <c r="P67" s="44" t="s">
        <v>99</v>
      </c>
      <c r="Q67" s="57">
        <v>94214</v>
      </c>
      <c r="R67" s="58" t="s">
        <v>71</v>
      </c>
      <c r="S67" s="45"/>
      <c r="T67" s="45"/>
      <c r="U67" s="59">
        <v>925009794</v>
      </c>
      <c r="V67" s="58" t="s">
        <v>224</v>
      </c>
      <c r="W67" s="60" t="s">
        <v>79</v>
      </c>
      <c r="X67" s="58" t="s">
        <v>90</v>
      </c>
      <c r="Y67" s="61">
        <f>36465+(6*364)</f>
        <v>38649</v>
      </c>
      <c r="Z67" s="44">
        <f t="shared" ca="1" si="1"/>
        <v>19</v>
      </c>
    </row>
    <row r="68" spans="1:26" x14ac:dyDescent="0.25">
      <c r="A68" s="52" t="s">
        <v>225</v>
      </c>
      <c r="B68" s="52" t="s">
        <v>107</v>
      </c>
      <c r="C68" s="53">
        <v>78834</v>
      </c>
      <c r="D68" s="54">
        <v>98793</v>
      </c>
      <c r="K68" s="54"/>
      <c r="N68" s="62">
        <v>187000804</v>
      </c>
      <c r="O68" s="56">
        <v>9704249228</v>
      </c>
      <c r="P68" s="44" t="s">
        <v>76</v>
      </c>
      <c r="Q68" s="57">
        <v>108519</v>
      </c>
      <c r="R68" s="58" t="s">
        <v>71</v>
      </c>
      <c r="S68" s="45"/>
      <c r="T68" s="45"/>
      <c r="U68" s="59">
        <v>710008874</v>
      </c>
      <c r="V68" s="58" t="s">
        <v>226</v>
      </c>
      <c r="W68" s="60" t="s">
        <v>73</v>
      </c>
      <c r="X68" s="58" t="s">
        <v>90</v>
      </c>
      <c r="Y68" s="61">
        <f>42527+(6*364)</f>
        <v>44711</v>
      </c>
      <c r="Z68" s="44">
        <f t="shared" ca="1" si="1"/>
        <v>2</v>
      </c>
    </row>
    <row r="69" spans="1:26" x14ac:dyDescent="0.25">
      <c r="A69" s="52" t="s">
        <v>227</v>
      </c>
      <c r="B69" s="52" t="s">
        <v>107</v>
      </c>
      <c r="C69" s="53">
        <v>70048</v>
      </c>
      <c r="D69" s="54">
        <v>134681</v>
      </c>
      <c r="K69" s="54"/>
      <c r="N69" s="62">
        <v>190006794</v>
      </c>
      <c r="O69" s="56">
        <v>9708439277</v>
      </c>
      <c r="P69" s="44" t="s">
        <v>99</v>
      </c>
      <c r="Q69" s="57">
        <v>51171</v>
      </c>
      <c r="R69" s="58" t="s">
        <v>71</v>
      </c>
      <c r="S69" s="45"/>
      <c r="T69" s="45"/>
      <c r="U69" s="59">
        <v>258005635</v>
      </c>
      <c r="V69" s="58" t="s">
        <v>228</v>
      </c>
      <c r="W69" s="60" t="s">
        <v>79</v>
      </c>
      <c r="X69" s="58" t="s">
        <v>85</v>
      </c>
      <c r="Y69" s="61">
        <f>39062+(6*364)</f>
        <v>41246</v>
      </c>
      <c r="Z69" s="44">
        <f t="shared" ca="1" si="1"/>
        <v>12</v>
      </c>
    </row>
    <row r="70" spans="1:26" x14ac:dyDescent="0.25">
      <c r="A70" s="52" t="s">
        <v>229</v>
      </c>
      <c r="B70" s="52" t="s">
        <v>107</v>
      </c>
      <c r="C70" s="53">
        <v>15718</v>
      </c>
      <c r="D70" s="54">
        <v>77577</v>
      </c>
      <c r="K70" s="54"/>
      <c r="N70" s="62">
        <v>192000526</v>
      </c>
      <c r="O70" s="56">
        <v>3032375580</v>
      </c>
      <c r="P70" s="44" t="s">
        <v>99</v>
      </c>
      <c r="Q70" s="57">
        <v>63147</v>
      </c>
      <c r="R70" s="58" t="s">
        <v>71</v>
      </c>
      <c r="S70" s="45"/>
      <c r="T70" s="45"/>
      <c r="U70" s="59">
        <v>795004220</v>
      </c>
      <c r="V70" s="58" t="s">
        <v>230</v>
      </c>
      <c r="W70" s="60" t="s">
        <v>73</v>
      </c>
      <c r="X70" s="58" t="s">
        <v>205</v>
      </c>
      <c r="Y70" s="61">
        <f>35036+(6*364)</f>
        <v>37220</v>
      </c>
      <c r="Z70" s="44">
        <f t="shared" ca="1" si="1"/>
        <v>23</v>
      </c>
    </row>
    <row r="71" spans="1:26" x14ac:dyDescent="0.25">
      <c r="A71" s="52" t="s">
        <v>231</v>
      </c>
      <c r="B71" s="52" t="s">
        <v>107</v>
      </c>
      <c r="C71" s="53">
        <v>36189</v>
      </c>
      <c r="D71" s="54">
        <v>67886</v>
      </c>
      <c r="K71" s="54"/>
      <c r="N71" s="62">
        <v>192009615</v>
      </c>
      <c r="O71" s="56">
        <v>7197038033</v>
      </c>
      <c r="P71" s="44" t="s">
        <v>92</v>
      </c>
      <c r="Q71" s="57">
        <v>68707</v>
      </c>
      <c r="R71" s="58" t="s">
        <v>71</v>
      </c>
      <c r="S71" s="45"/>
      <c r="T71" s="45"/>
      <c r="U71" s="59">
        <v>489000323</v>
      </c>
      <c r="V71" s="58" t="s">
        <v>232</v>
      </c>
      <c r="W71" s="60" t="s">
        <v>84</v>
      </c>
      <c r="X71" s="58" t="s">
        <v>176</v>
      </c>
      <c r="Y71" s="61">
        <f>42237+(6*364)</f>
        <v>44421</v>
      </c>
      <c r="Z71" s="44">
        <f t="shared" ca="1" si="1"/>
        <v>3</v>
      </c>
    </row>
    <row r="72" spans="1:26" x14ac:dyDescent="0.25">
      <c r="A72" s="52" t="s">
        <v>233</v>
      </c>
      <c r="B72" s="52" t="s">
        <v>107</v>
      </c>
      <c r="C72" s="53">
        <v>68833</v>
      </c>
      <c r="D72" s="54">
        <v>42039</v>
      </c>
      <c r="K72" s="54"/>
      <c r="N72" s="62">
        <v>195007648</v>
      </c>
      <c r="O72" s="56">
        <v>9704045531</v>
      </c>
      <c r="P72" s="44" t="s">
        <v>82</v>
      </c>
      <c r="Q72" s="57">
        <v>101130</v>
      </c>
      <c r="R72" s="58" t="s">
        <v>71</v>
      </c>
      <c r="S72" s="45"/>
      <c r="T72" s="45"/>
      <c r="U72" s="59">
        <v>540002627</v>
      </c>
      <c r="V72" s="58" t="s">
        <v>181</v>
      </c>
      <c r="W72" s="60" t="s">
        <v>73</v>
      </c>
      <c r="X72" s="58" t="s">
        <v>173</v>
      </c>
      <c r="Y72" s="61">
        <f>42505+(6*364)</f>
        <v>44689</v>
      </c>
      <c r="Z72" s="44">
        <f t="shared" ca="1" si="1"/>
        <v>2</v>
      </c>
    </row>
    <row r="73" spans="1:26" x14ac:dyDescent="0.25">
      <c r="A73" s="52" t="s">
        <v>234</v>
      </c>
      <c r="B73" s="52" t="s">
        <v>107</v>
      </c>
      <c r="C73" s="53">
        <v>27471</v>
      </c>
      <c r="D73" s="54">
        <v>118571</v>
      </c>
      <c r="K73" s="54"/>
      <c r="N73" s="62">
        <v>196000987</v>
      </c>
      <c r="O73" s="56">
        <v>9706422185</v>
      </c>
      <c r="P73" s="44" t="s">
        <v>82</v>
      </c>
      <c r="Q73" s="57">
        <v>117883</v>
      </c>
      <c r="R73" s="58" t="s">
        <v>71</v>
      </c>
      <c r="S73" s="45"/>
      <c r="T73" s="45"/>
      <c r="U73" s="59">
        <v>209008753</v>
      </c>
      <c r="V73" s="58" t="s">
        <v>235</v>
      </c>
      <c r="W73" s="60" t="s">
        <v>84</v>
      </c>
      <c r="X73" s="58" t="s">
        <v>80</v>
      </c>
      <c r="Y73" s="61">
        <f>39377+(6*364)</f>
        <v>41561</v>
      </c>
      <c r="Z73" s="44">
        <f t="shared" ca="1" si="1"/>
        <v>11</v>
      </c>
    </row>
    <row r="74" spans="1:26" x14ac:dyDescent="0.25">
      <c r="A74" s="52" t="s">
        <v>236</v>
      </c>
      <c r="B74" s="52" t="s">
        <v>107</v>
      </c>
      <c r="C74" s="53">
        <v>39128</v>
      </c>
      <c r="D74" s="54">
        <v>53084</v>
      </c>
      <c r="K74" s="54"/>
      <c r="N74" s="62">
        <v>198000959</v>
      </c>
      <c r="O74" s="56">
        <v>9702824485</v>
      </c>
      <c r="P74" s="44" t="s">
        <v>92</v>
      </c>
      <c r="Q74" s="57">
        <v>88987</v>
      </c>
      <c r="R74" s="58" t="s">
        <v>71</v>
      </c>
      <c r="S74" s="45"/>
      <c r="T74" s="45"/>
      <c r="U74" s="59">
        <v>725008918</v>
      </c>
      <c r="V74" s="58" t="s">
        <v>237</v>
      </c>
      <c r="W74" s="60" t="s">
        <v>73</v>
      </c>
      <c r="X74" s="58" t="s">
        <v>90</v>
      </c>
      <c r="Y74" s="61">
        <f>38346+(6*364)</f>
        <v>40530</v>
      </c>
      <c r="Z74" s="44">
        <f t="shared" ca="1" si="1"/>
        <v>14</v>
      </c>
    </row>
    <row r="75" spans="1:26" x14ac:dyDescent="0.25">
      <c r="A75" s="52" t="s">
        <v>238</v>
      </c>
      <c r="B75" s="52" t="s">
        <v>107</v>
      </c>
      <c r="C75" s="53">
        <v>34568</v>
      </c>
      <c r="D75" s="54">
        <v>73814</v>
      </c>
      <c r="K75" s="54"/>
      <c r="N75" s="62">
        <v>198003086</v>
      </c>
      <c r="O75" s="56">
        <v>5051544288</v>
      </c>
      <c r="P75" s="44" t="s">
        <v>70</v>
      </c>
      <c r="Q75" s="57">
        <v>78663</v>
      </c>
      <c r="R75" s="58" t="s">
        <v>71</v>
      </c>
      <c r="S75" s="45"/>
      <c r="T75" s="45"/>
      <c r="U75" s="59">
        <v>727003712</v>
      </c>
      <c r="V75" s="58" t="s">
        <v>239</v>
      </c>
      <c r="W75" s="60" t="s">
        <v>84</v>
      </c>
      <c r="X75" s="58" t="s">
        <v>173</v>
      </c>
      <c r="Y75" s="61">
        <f>35814+(6*364)</f>
        <v>37998</v>
      </c>
      <c r="Z75" s="44">
        <f t="shared" ca="1" si="1"/>
        <v>21</v>
      </c>
    </row>
    <row r="76" spans="1:26" x14ac:dyDescent="0.25">
      <c r="A76" s="52" t="s">
        <v>240</v>
      </c>
      <c r="B76" s="52" t="s">
        <v>107</v>
      </c>
      <c r="C76" s="53">
        <v>35768</v>
      </c>
      <c r="D76" s="54">
        <v>71727</v>
      </c>
      <c r="K76" s="54"/>
      <c r="N76" s="62">
        <v>198003387</v>
      </c>
      <c r="O76" s="56">
        <v>3037775023</v>
      </c>
      <c r="P76" s="44"/>
      <c r="Q76" s="57">
        <v>77349</v>
      </c>
      <c r="R76" s="58" t="s">
        <v>87</v>
      </c>
      <c r="S76" s="45"/>
      <c r="T76" s="45"/>
      <c r="U76" s="59">
        <v>607007105</v>
      </c>
      <c r="V76" s="58" t="s">
        <v>241</v>
      </c>
      <c r="W76" s="60" t="s">
        <v>73</v>
      </c>
      <c r="X76" s="58" t="s">
        <v>94</v>
      </c>
      <c r="Y76" s="61">
        <f>35497+(6*364)</f>
        <v>37681</v>
      </c>
      <c r="Z76" s="44">
        <f t="shared" ca="1" si="1"/>
        <v>21</v>
      </c>
    </row>
    <row r="77" spans="1:26" x14ac:dyDescent="0.25">
      <c r="A77" s="52" t="s">
        <v>242</v>
      </c>
      <c r="B77" s="52" t="s">
        <v>107</v>
      </c>
      <c r="C77" s="53">
        <v>12512</v>
      </c>
      <c r="D77" s="54">
        <v>67318</v>
      </c>
      <c r="K77" s="54"/>
      <c r="N77" s="62">
        <v>200000949</v>
      </c>
      <c r="O77" s="56">
        <v>9708097539</v>
      </c>
      <c r="P77" s="44"/>
      <c r="Q77" s="57">
        <v>96705</v>
      </c>
      <c r="R77" s="58" t="s">
        <v>109</v>
      </c>
      <c r="S77" s="45"/>
      <c r="T77" s="45"/>
      <c r="U77" s="59">
        <v>620004211</v>
      </c>
      <c r="V77" s="58" t="s">
        <v>243</v>
      </c>
      <c r="W77" s="60" t="s">
        <v>73</v>
      </c>
      <c r="X77" s="58" t="s">
        <v>80</v>
      </c>
      <c r="Y77" s="61">
        <f>38891+(6*364)</f>
        <v>41075</v>
      </c>
      <c r="Z77" s="44">
        <f t="shared" ca="1" si="1"/>
        <v>12</v>
      </c>
    </row>
    <row r="78" spans="1:26" x14ac:dyDescent="0.25">
      <c r="A78" s="52" t="s">
        <v>244</v>
      </c>
      <c r="B78" s="52" t="s">
        <v>107</v>
      </c>
      <c r="C78" s="53">
        <v>20299</v>
      </c>
      <c r="D78" s="54">
        <v>78669</v>
      </c>
      <c r="K78" s="54"/>
      <c r="N78" s="62">
        <v>203002596</v>
      </c>
      <c r="O78" s="56">
        <v>9705165289</v>
      </c>
      <c r="P78" s="44" t="s">
        <v>99</v>
      </c>
      <c r="Q78" s="57">
        <v>126156</v>
      </c>
      <c r="R78" s="58" t="s">
        <v>71</v>
      </c>
      <c r="S78" s="45"/>
      <c r="T78" s="45"/>
      <c r="U78" s="59">
        <v>590008260</v>
      </c>
      <c r="V78" s="58" t="s">
        <v>245</v>
      </c>
      <c r="W78" s="60" t="s">
        <v>73</v>
      </c>
      <c r="X78" s="58" t="s">
        <v>74</v>
      </c>
      <c r="Y78" s="61">
        <f>39565+(6*364)</f>
        <v>41749</v>
      </c>
      <c r="Z78" s="44">
        <f t="shared" ca="1" si="1"/>
        <v>10</v>
      </c>
    </row>
    <row r="79" spans="1:26" x14ac:dyDescent="0.25">
      <c r="A79" s="52" t="s">
        <v>246</v>
      </c>
      <c r="B79" s="52" t="s">
        <v>107</v>
      </c>
      <c r="C79" s="53">
        <v>55502</v>
      </c>
      <c r="D79" s="54">
        <v>60987</v>
      </c>
      <c r="K79" s="54"/>
      <c r="N79" s="62">
        <v>203002848</v>
      </c>
      <c r="O79" s="56">
        <v>9706607355</v>
      </c>
      <c r="P79" s="44"/>
      <c r="Q79" s="57">
        <v>39739</v>
      </c>
      <c r="R79" s="58" t="s">
        <v>87</v>
      </c>
      <c r="S79" s="45"/>
      <c r="T79" s="45"/>
      <c r="U79" s="59">
        <v>155001471</v>
      </c>
      <c r="V79" s="58" t="s">
        <v>247</v>
      </c>
      <c r="W79" s="60" t="s">
        <v>89</v>
      </c>
      <c r="X79" s="58" t="s">
        <v>90</v>
      </c>
      <c r="Y79" s="61">
        <f>37920+(6*364)</f>
        <v>40104</v>
      </c>
      <c r="Z79" s="44">
        <f t="shared" ca="1" si="1"/>
        <v>15</v>
      </c>
    </row>
    <row r="80" spans="1:26" x14ac:dyDescent="0.25">
      <c r="A80" s="52" t="s">
        <v>21</v>
      </c>
      <c r="B80" s="52" t="s">
        <v>107</v>
      </c>
      <c r="C80" s="53">
        <v>96320</v>
      </c>
      <c r="D80" s="54">
        <v>111324</v>
      </c>
      <c r="K80" s="54"/>
      <c r="N80" s="62">
        <v>203003226</v>
      </c>
      <c r="O80" s="56">
        <v>7195832994</v>
      </c>
      <c r="P80" s="44" t="s">
        <v>99</v>
      </c>
      <c r="Q80" s="57">
        <v>89888</v>
      </c>
      <c r="R80" s="58" t="s">
        <v>71</v>
      </c>
      <c r="S80" s="45"/>
      <c r="T80" s="45"/>
      <c r="U80" s="59">
        <v>441009123</v>
      </c>
      <c r="V80" s="58" t="s">
        <v>249</v>
      </c>
      <c r="W80" s="60" t="s">
        <v>79</v>
      </c>
      <c r="X80" s="58" t="s">
        <v>159</v>
      </c>
      <c r="Y80" s="61">
        <f>35371+(6*364)</f>
        <v>37555</v>
      </c>
      <c r="Z80" s="44">
        <f t="shared" ca="1" si="1"/>
        <v>22</v>
      </c>
    </row>
    <row r="81" spans="1:26" x14ac:dyDescent="0.25">
      <c r="A81" s="52" t="s">
        <v>253</v>
      </c>
      <c r="B81" s="52" t="s">
        <v>107</v>
      </c>
      <c r="C81" s="53">
        <v>47828</v>
      </c>
      <c r="D81" s="54">
        <v>131597</v>
      </c>
      <c r="K81" s="54"/>
      <c r="N81" s="62">
        <v>204000932</v>
      </c>
      <c r="O81" s="56">
        <v>9708213594</v>
      </c>
      <c r="P81" s="44" t="s">
        <v>92</v>
      </c>
      <c r="Q81" s="57">
        <v>38706</v>
      </c>
      <c r="R81" s="58" t="s">
        <v>71</v>
      </c>
      <c r="S81" s="45"/>
      <c r="T81" s="45"/>
      <c r="U81" s="59">
        <v>355005753</v>
      </c>
      <c r="V81" s="58" t="s">
        <v>251</v>
      </c>
      <c r="W81" s="60" t="s">
        <v>79</v>
      </c>
      <c r="X81" s="58" t="s">
        <v>74</v>
      </c>
      <c r="Y81" s="61">
        <f>38567+(6*364)</f>
        <v>40751</v>
      </c>
      <c r="Z81" s="44">
        <f t="shared" ca="1" si="1"/>
        <v>13</v>
      </c>
    </row>
    <row r="82" spans="1:26" x14ac:dyDescent="0.25">
      <c r="A82" s="52" t="s">
        <v>255</v>
      </c>
      <c r="B82" s="52" t="s">
        <v>107</v>
      </c>
      <c r="C82" s="53">
        <v>22591</v>
      </c>
      <c r="D82" s="54">
        <v>133635</v>
      </c>
      <c r="K82" s="54"/>
      <c r="N82" s="62">
        <v>204003785</v>
      </c>
      <c r="O82" s="56">
        <v>7191375297</v>
      </c>
      <c r="P82" s="44" t="s">
        <v>76</v>
      </c>
      <c r="Q82" s="57">
        <v>49814</v>
      </c>
      <c r="R82" s="58" t="s">
        <v>71</v>
      </c>
      <c r="S82" s="45"/>
      <c r="T82" s="45"/>
      <c r="U82" s="59">
        <v>540009081</v>
      </c>
      <c r="V82" s="58" t="s">
        <v>252</v>
      </c>
      <c r="W82" s="60" t="s">
        <v>101</v>
      </c>
      <c r="X82" s="58" t="s">
        <v>104</v>
      </c>
      <c r="Y82" s="61">
        <f>42544+(6*364)</f>
        <v>44728</v>
      </c>
      <c r="Z82" s="44">
        <f t="shared" ca="1" si="1"/>
        <v>2</v>
      </c>
    </row>
    <row r="83" spans="1:26" x14ac:dyDescent="0.25">
      <c r="A83" s="52" t="s">
        <v>257</v>
      </c>
      <c r="B83" s="52" t="s">
        <v>107</v>
      </c>
      <c r="C83" s="53">
        <v>46256</v>
      </c>
      <c r="D83" s="54">
        <v>103961</v>
      </c>
      <c r="K83" s="54"/>
      <c r="N83" s="62">
        <v>204009406</v>
      </c>
      <c r="O83" s="56">
        <v>9703533906</v>
      </c>
      <c r="P83" s="44" t="s">
        <v>92</v>
      </c>
      <c r="Q83" s="57">
        <v>76087</v>
      </c>
      <c r="R83" s="58" t="s">
        <v>71</v>
      </c>
      <c r="S83" s="45"/>
      <c r="T83" s="45"/>
      <c r="U83" s="59">
        <v>459004225</v>
      </c>
      <c r="V83" s="58" t="s">
        <v>254</v>
      </c>
      <c r="W83" s="60" t="s">
        <v>73</v>
      </c>
      <c r="X83" s="58" t="s">
        <v>80</v>
      </c>
      <c r="Y83" s="61">
        <f>41652+(6*364)</f>
        <v>43836</v>
      </c>
      <c r="Z83" s="44">
        <f t="shared" ca="1" si="1"/>
        <v>5</v>
      </c>
    </row>
    <row r="84" spans="1:26" x14ac:dyDescent="0.25">
      <c r="A84" s="52" t="s">
        <v>259</v>
      </c>
      <c r="B84" s="52" t="s">
        <v>107</v>
      </c>
      <c r="C84" s="53">
        <v>20492</v>
      </c>
      <c r="D84" s="54">
        <v>127507</v>
      </c>
      <c r="K84" s="54"/>
      <c r="N84" s="62">
        <v>205000202</v>
      </c>
      <c r="O84" s="56">
        <v>7197045091</v>
      </c>
      <c r="P84" s="44" t="s">
        <v>82</v>
      </c>
      <c r="Q84" s="57">
        <v>50047</v>
      </c>
      <c r="R84" s="58" t="s">
        <v>71</v>
      </c>
      <c r="S84" s="45"/>
      <c r="T84" s="45"/>
      <c r="U84" s="59">
        <v>778008670</v>
      </c>
      <c r="V84" s="58" t="s">
        <v>256</v>
      </c>
      <c r="W84" s="60" t="s">
        <v>79</v>
      </c>
      <c r="X84" s="58" t="s">
        <v>90</v>
      </c>
      <c r="Y84" s="61">
        <f>41754+(6*364)</f>
        <v>43938</v>
      </c>
      <c r="Z84" s="44">
        <f t="shared" ca="1" si="1"/>
        <v>4</v>
      </c>
    </row>
    <row r="85" spans="1:26" x14ac:dyDescent="0.25">
      <c r="A85" s="52" t="s">
        <v>261</v>
      </c>
      <c r="B85" s="52" t="s">
        <v>107</v>
      </c>
      <c r="C85" s="53">
        <v>85017</v>
      </c>
      <c r="D85" s="54">
        <v>97062</v>
      </c>
      <c r="K85" s="54"/>
      <c r="N85" s="62">
        <v>205004604</v>
      </c>
      <c r="O85" s="56">
        <v>9702842668</v>
      </c>
      <c r="P85" s="44" t="s">
        <v>76</v>
      </c>
      <c r="Q85" s="57">
        <v>123391</v>
      </c>
      <c r="R85" s="58" t="s">
        <v>77</v>
      </c>
      <c r="S85" s="45"/>
      <c r="T85" s="45"/>
      <c r="U85" s="59">
        <v>714005339</v>
      </c>
      <c r="V85" s="58" t="s">
        <v>258</v>
      </c>
      <c r="W85" s="60" t="s">
        <v>73</v>
      </c>
      <c r="X85" s="58" t="s">
        <v>80</v>
      </c>
      <c r="Y85" s="61">
        <f>38842+(6*364)</f>
        <v>41026</v>
      </c>
      <c r="Z85" s="44">
        <f t="shared" ca="1" si="1"/>
        <v>12</v>
      </c>
    </row>
    <row r="86" spans="1:26" x14ac:dyDescent="0.25">
      <c r="A86" s="52" t="s">
        <v>263</v>
      </c>
      <c r="B86" s="52" t="s">
        <v>107</v>
      </c>
      <c r="C86" s="53">
        <v>58562</v>
      </c>
      <c r="D86" s="54">
        <v>50848</v>
      </c>
      <c r="K86" s="54"/>
      <c r="N86" s="62">
        <v>206006492</v>
      </c>
      <c r="O86" s="56">
        <v>7192523567</v>
      </c>
      <c r="P86" s="44"/>
      <c r="Q86" s="57">
        <v>66400</v>
      </c>
      <c r="R86" s="58" t="s">
        <v>87</v>
      </c>
      <c r="S86" s="45"/>
      <c r="T86" s="45"/>
      <c r="U86" s="59">
        <v>949003495</v>
      </c>
      <c r="V86" s="58" t="s">
        <v>260</v>
      </c>
      <c r="W86" s="60" t="s">
        <v>73</v>
      </c>
      <c r="X86" s="58" t="s">
        <v>137</v>
      </c>
      <c r="Y86" s="61">
        <f>38138+(6*364)</f>
        <v>40322</v>
      </c>
      <c r="Z86" s="44">
        <f t="shared" ca="1" si="1"/>
        <v>14</v>
      </c>
    </row>
    <row r="87" spans="1:26" x14ac:dyDescent="0.25">
      <c r="A87" s="52" t="s">
        <v>265</v>
      </c>
      <c r="B87" s="52" t="s">
        <v>107</v>
      </c>
      <c r="C87" s="53">
        <v>47530</v>
      </c>
      <c r="D87" s="54">
        <v>88247</v>
      </c>
      <c r="K87" s="54"/>
      <c r="N87" s="62">
        <v>209008753</v>
      </c>
      <c r="O87" s="56">
        <v>9702485673</v>
      </c>
      <c r="P87" s="44"/>
      <c r="Q87" s="57">
        <v>66410</v>
      </c>
      <c r="R87" s="58" t="s">
        <v>87</v>
      </c>
      <c r="S87" s="45"/>
      <c r="T87" s="45"/>
      <c r="U87" s="59">
        <v>986007993</v>
      </c>
      <c r="V87" s="58" t="s">
        <v>262</v>
      </c>
      <c r="W87" s="60" t="s">
        <v>89</v>
      </c>
      <c r="X87" s="58" t="s">
        <v>94</v>
      </c>
      <c r="Y87" s="61">
        <f>39173+(6*364)</f>
        <v>41357</v>
      </c>
      <c r="Z87" s="44">
        <f t="shared" ca="1" si="1"/>
        <v>11</v>
      </c>
    </row>
    <row r="88" spans="1:26" x14ac:dyDescent="0.25">
      <c r="A88" s="52" t="s">
        <v>267</v>
      </c>
      <c r="B88" s="52" t="s">
        <v>107</v>
      </c>
      <c r="C88" s="53">
        <v>67209</v>
      </c>
      <c r="D88" s="54">
        <v>122253</v>
      </c>
      <c r="K88" s="54"/>
      <c r="N88" s="62">
        <v>210004611</v>
      </c>
      <c r="O88" s="56">
        <v>9707358099</v>
      </c>
      <c r="P88" s="44"/>
      <c r="Q88" s="57">
        <v>43433</v>
      </c>
      <c r="R88" s="58" t="s">
        <v>87</v>
      </c>
      <c r="S88" s="45"/>
      <c r="T88" s="45"/>
      <c r="U88" s="59">
        <v>165001710</v>
      </c>
      <c r="V88" s="58" t="s">
        <v>264</v>
      </c>
      <c r="W88" s="60" t="s">
        <v>73</v>
      </c>
      <c r="X88" s="58" t="s">
        <v>190</v>
      </c>
      <c r="Y88" s="61">
        <f>42496+(6*364)</f>
        <v>44680</v>
      </c>
      <c r="Z88" s="44">
        <f t="shared" ca="1" si="1"/>
        <v>2</v>
      </c>
    </row>
    <row r="89" spans="1:26" x14ac:dyDescent="0.25">
      <c r="A89" s="52" t="s">
        <v>269</v>
      </c>
      <c r="B89" s="52" t="s">
        <v>107</v>
      </c>
      <c r="C89" s="53">
        <v>34430</v>
      </c>
      <c r="D89" s="54">
        <v>66995</v>
      </c>
      <c r="K89" s="54"/>
      <c r="N89" s="62">
        <v>212002209</v>
      </c>
      <c r="O89" s="56">
        <v>3036060038</v>
      </c>
      <c r="P89" s="44" t="s">
        <v>76</v>
      </c>
      <c r="Q89" s="57">
        <v>64283</v>
      </c>
      <c r="R89" s="58" t="s">
        <v>71</v>
      </c>
      <c r="S89" s="45"/>
      <c r="T89" s="45"/>
      <c r="U89" s="59">
        <v>730005878</v>
      </c>
      <c r="V89" s="58" t="s">
        <v>266</v>
      </c>
      <c r="W89" s="60" t="s">
        <v>154</v>
      </c>
      <c r="X89" s="58" t="s">
        <v>173</v>
      </c>
      <c r="Y89" s="61">
        <f>37766+(6*364)</f>
        <v>39950</v>
      </c>
      <c r="Z89" s="44">
        <f t="shared" ca="1" si="1"/>
        <v>15</v>
      </c>
    </row>
    <row r="90" spans="1:26" x14ac:dyDescent="0.25">
      <c r="A90" s="52" t="s">
        <v>271</v>
      </c>
      <c r="B90" s="52" t="s">
        <v>107</v>
      </c>
      <c r="C90" s="53">
        <v>84562</v>
      </c>
      <c r="D90" s="54">
        <v>62979</v>
      </c>
      <c r="K90" s="54"/>
      <c r="N90" s="62">
        <v>212005003</v>
      </c>
      <c r="O90" s="56">
        <v>7195012757</v>
      </c>
      <c r="P90" s="44"/>
      <c r="Q90" s="57">
        <v>98317</v>
      </c>
      <c r="R90" s="58" t="s">
        <v>87</v>
      </c>
      <c r="S90" s="45"/>
      <c r="T90" s="45"/>
      <c r="U90" s="59">
        <v>443001198</v>
      </c>
      <c r="V90" s="58" t="s">
        <v>268</v>
      </c>
      <c r="W90" s="60" t="s">
        <v>79</v>
      </c>
      <c r="X90" s="58" t="s">
        <v>107</v>
      </c>
      <c r="Y90" s="61">
        <f>40964+(6*364)</f>
        <v>43148</v>
      </c>
      <c r="Z90" s="44">
        <f t="shared" ca="1" si="1"/>
        <v>7</v>
      </c>
    </row>
    <row r="91" spans="1:26" x14ac:dyDescent="0.25">
      <c r="A91" s="52" t="s">
        <v>273</v>
      </c>
      <c r="B91" s="52" t="s">
        <v>107</v>
      </c>
      <c r="C91" s="53">
        <v>45784</v>
      </c>
      <c r="D91" s="54">
        <v>52474</v>
      </c>
      <c r="K91" s="54"/>
      <c r="N91" s="62">
        <v>212008950</v>
      </c>
      <c r="O91" s="56">
        <v>7194252315</v>
      </c>
      <c r="P91" s="44" t="s">
        <v>76</v>
      </c>
      <c r="Q91" s="57">
        <v>54749</v>
      </c>
      <c r="R91" s="58" t="s">
        <v>71</v>
      </c>
      <c r="S91" s="45"/>
      <c r="T91" s="45"/>
      <c r="U91" s="59">
        <v>497004015</v>
      </c>
      <c r="V91" s="58" t="s">
        <v>270</v>
      </c>
      <c r="W91" s="60" t="s">
        <v>79</v>
      </c>
      <c r="X91" s="58" t="s">
        <v>85</v>
      </c>
      <c r="Y91" s="61">
        <f>38116+(6*364)</f>
        <v>40300</v>
      </c>
      <c r="Z91" s="44">
        <f t="shared" ca="1" si="1"/>
        <v>14</v>
      </c>
    </row>
    <row r="92" spans="1:26" x14ac:dyDescent="0.25">
      <c r="A92" s="52" t="s">
        <v>275</v>
      </c>
      <c r="B92" s="52" t="s">
        <v>107</v>
      </c>
      <c r="C92" s="53">
        <v>96209</v>
      </c>
      <c r="D92" s="54">
        <v>119866</v>
      </c>
      <c r="K92" s="54"/>
      <c r="N92" s="55">
        <v>213000113</v>
      </c>
      <c r="O92" s="56">
        <v>5057102355</v>
      </c>
      <c r="P92" s="44" t="s">
        <v>92</v>
      </c>
      <c r="Q92" s="57">
        <v>78977</v>
      </c>
      <c r="R92" s="58" t="s">
        <v>71</v>
      </c>
      <c r="S92" s="45"/>
      <c r="T92" s="45"/>
      <c r="U92" s="59">
        <v>998005102</v>
      </c>
      <c r="V92" s="58" t="s">
        <v>272</v>
      </c>
      <c r="W92" s="60" t="s">
        <v>79</v>
      </c>
      <c r="X92" s="58" t="s">
        <v>90</v>
      </c>
      <c r="Y92" s="61">
        <f>42502+(6*364)</f>
        <v>44686</v>
      </c>
      <c r="Z92" s="44">
        <f t="shared" ca="1" si="1"/>
        <v>2</v>
      </c>
    </row>
    <row r="93" spans="1:26" x14ac:dyDescent="0.25">
      <c r="A93" s="52" t="s">
        <v>277</v>
      </c>
      <c r="B93" s="52" t="s">
        <v>107</v>
      </c>
      <c r="C93" s="53">
        <v>12906</v>
      </c>
      <c r="D93" s="54">
        <v>115340</v>
      </c>
      <c r="K93" s="54"/>
      <c r="N93" s="55">
        <v>213009558</v>
      </c>
      <c r="O93" s="56">
        <v>5056132408</v>
      </c>
      <c r="P93" s="44" t="s">
        <v>92</v>
      </c>
      <c r="Q93" s="57">
        <v>105683</v>
      </c>
      <c r="R93" s="58" t="s">
        <v>71</v>
      </c>
      <c r="S93" s="45"/>
      <c r="T93" s="45"/>
      <c r="U93" s="59">
        <v>781005463</v>
      </c>
      <c r="V93" s="58" t="s">
        <v>274</v>
      </c>
      <c r="W93" s="60" t="s">
        <v>89</v>
      </c>
      <c r="X93" s="58" t="s">
        <v>90</v>
      </c>
      <c r="Y93" s="61">
        <f>37513+(6*364)</f>
        <v>39697</v>
      </c>
      <c r="Z93" s="44">
        <f t="shared" ca="1" si="1"/>
        <v>16</v>
      </c>
    </row>
    <row r="94" spans="1:26" x14ac:dyDescent="0.25">
      <c r="A94" s="52" t="s">
        <v>279</v>
      </c>
      <c r="B94" s="52" t="s">
        <v>107</v>
      </c>
      <c r="C94" s="53">
        <v>37935</v>
      </c>
      <c r="D94" s="54">
        <v>106899</v>
      </c>
      <c r="K94" s="54"/>
      <c r="N94" s="55">
        <v>214004063</v>
      </c>
      <c r="O94" s="56">
        <v>3036092172</v>
      </c>
      <c r="P94" s="44" t="s">
        <v>92</v>
      </c>
      <c r="Q94" s="57">
        <v>78924</v>
      </c>
      <c r="R94" s="58" t="s">
        <v>77</v>
      </c>
      <c r="S94" s="45"/>
      <c r="T94" s="45"/>
      <c r="U94" s="59">
        <v>630002705</v>
      </c>
      <c r="V94" s="58" t="s">
        <v>276</v>
      </c>
      <c r="W94" s="60" t="s">
        <v>73</v>
      </c>
      <c r="X94" s="58" t="s">
        <v>80</v>
      </c>
      <c r="Y94" s="61">
        <f>42447+(6*364)</f>
        <v>44631</v>
      </c>
      <c r="Z94" s="44">
        <f t="shared" ca="1" si="1"/>
        <v>2</v>
      </c>
    </row>
    <row r="95" spans="1:26" x14ac:dyDescent="0.25">
      <c r="A95" s="52" t="s">
        <v>163</v>
      </c>
      <c r="B95" s="52" t="s">
        <v>132</v>
      </c>
      <c r="C95" s="53">
        <v>61236</v>
      </c>
      <c r="D95" s="54">
        <v>132543</v>
      </c>
      <c r="K95" s="54"/>
      <c r="N95" s="62">
        <v>214004611</v>
      </c>
      <c r="O95" s="56">
        <v>3032636516</v>
      </c>
      <c r="P95" s="44"/>
      <c r="Q95" s="57">
        <v>55875</v>
      </c>
      <c r="R95" s="58" t="s">
        <v>87</v>
      </c>
      <c r="S95" s="45"/>
      <c r="T95" s="45"/>
      <c r="U95" s="59">
        <v>541005222</v>
      </c>
      <c r="V95" s="58" t="s">
        <v>278</v>
      </c>
      <c r="W95" s="60" t="s">
        <v>154</v>
      </c>
      <c r="X95" s="58" t="s">
        <v>90</v>
      </c>
      <c r="Y95" s="61">
        <f>41272+(6*364)</f>
        <v>43456</v>
      </c>
      <c r="Z95" s="44">
        <f t="shared" ca="1" si="1"/>
        <v>6</v>
      </c>
    </row>
    <row r="96" spans="1:26" x14ac:dyDescent="0.25">
      <c r="A96" s="52" t="s">
        <v>196</v>
      </c>
      <c r="B96" s="52" t="s">
        <v>132</v>
      </c>
      <c r="C96" s="53">
        <v>21960</v>
      </c>
      <c r="D96" s="54">
        <v>81615</v>
      </c>
      <c r="K96" s="54"/>
      <c r="N96" s="55">
        <v>214005707</v>
      </c>
      <c r="O96" s="56">
        <v>3038038161</v>
      </c>
      <c r="P96" s="44"/>
      <c r="Q96" s="57">
        <v>127861</v>
      </c>
      <c r="R96" s="58" t="s">
        <v>109</v>
      </c>
      <c r="S96" s="45"/>
      <c r="T96" s="45"/>
      <c r="U96" s="59">
        <v>939001919</v>
      </c>
      <c r="V96" s="58" t="s">
        <v>280</v>
      </c>
      <c r="W96" s="60" t="s">
        <v>73</v>
      </c>
      <c r="X96" s="58" t="s">
        <v>281</v>
      </c>
      <c r="Y96" s="61">
        <f>36449+(6*364)</f>
        <v>38633</v>
      </c>
      <c r="Z96" s="44">
        <f t="shared" ca="1" si="1"/>
        <v>19</v>
      </c>
    </row>
    <row r="97" spans="1:26" x14ac:dyDescent="0.25">
      <c r="A97" s="52" t="s">
        <v>284</v>
      </c>
      <c r="B97" s="52" t="s">
        <v>132</v>
      </c>
      <c r="C97" s="53">
        <v>88009</v>
      </c>
      <c r="D97" s="54">
        <v>121380</v>
      </c>
      <c r="K97" s="54"/>
      <c r="N97" s="55">
        <v>217005900</v>
      </c>
      <c r="O97" s="56">
        <v>5054900514</v>
      </c>
      <c r="P97" s="44" t="s">
        <v>99</v>
      </c>
      <c r="Q97" s="57">
        <v>40077</v>
      </c>
      <c r="R97" s="58" t="s">
        <v>71</v>
      </c>
      <c r="S97" s="45"/>
      <c r="T97" s="45"/>
      <c r="U97" s="59">
        <v>435007144</v>
      </c>
      <c r="V97" s="58" t="s">
        <v>282</v>
      </c>
      <c r="W97" s="60" t="s">
        <v>101</v>
      </c>
      <c r="X97" s="58" t="s">
        <v>80</v>
      </c>
      <c r="Y97" s="61">
        <f>38933+(6*364)</f>
        <v>41117</v>
      </c>
      <c r="Z97" s="44">
        <f t="shared" ca="1" si="1"/>
        <v>12</v>
      </c>
    </row>
    <row r="98" spans="1:26" x14ac:dyDescent="0.25">
      <c r="A98" s="52" t="s">
        <v>286</v>
      </c>
      <c r="B98" s="52" t="s">
        <v>132</v>
      </c>
      <c r="C98" s="53">
        <v>43086</v>
      </c>
      <c r="D98" s="54">
        <v>110116</v>
      </c>
      <c r="K98" s="54"/>
      <c r="N98" s="62">
        <v>219000147</v>
      </c>
      <c r="O98" s="56">
        <v>5051549933</v>
      </c>
      <c r="P98" s="44" t="s">
        <v>82</v>
      </c>
      <c r="Q98" s="57">
        <v>101844</v>
      </c>
      <c r="R98" s="58" t="s">
        <v>71</v>
      </c>
      <c r="S98" s="45"/>
      <c r="T98" s="45"/>
      <c r="U98" s="59">
        <v>587007699</v>
      </c>
      <c r="V98" s="58" t="s">
        <v>283</v>
      </c>
      <c r="W98" s="60" t="s">
        <v>89</v>
      </c>
      <c r="X98" s="58" t="s">
        <v>90</v>
      </c>
      <c r="Y98" s="61">
        <f>38197+(6*364)</f>
        <v>40381</v>
      </c>
      <c r="Z98" s="44">
        <f t="shared" ca="1" si="1"/>
        <v>14</v>
      </c>
    </row>
    <row r="99" spans="1:26" x14ac:dyDescent="0.25">
      <c r="A99" s="52" t="s">
        <v>288</v>
      </c>
      <c r="B99" s="52" t="s">
        <v>132</v>
      </c>
      <c r="C99" s="53">
        <v>95558</v>
      </c>
      <c r="D99" s="54">
        <v>79409</v>
      </c>
      <c r="K99" s="54"/>
      <c r="N99" s="62">
        <v>219000654</v>
      </c>
      <c r="O99" s="56">
        <v>5055261239</v>
      </c>
      <c r="P99" s="44" t="s">
        <v>82</v>
      </c>
      <c r="Q99" s="57">
        <v>109087</v>
      </c>
      <c r="R99" s="58" t="s">
        <v>77</v>
      </c>
      <c r="S99" s="45"/>
      <c r="T99" s="45"/>
      <c r="U99" s="59">
        <v>650003671</v>
      </c>
      <c r="V99" s="58" t="s">
        <v>285</v>
      </c>
      <c r="W99" s="60" t="s">
        <v>89</v>
      </c>
      <c r="X99" s="58" t="s">
        <v>137</v>
      </c>
      <c r="Y99" s="61">
        <f>37383+(6*364)</f>
        <v>39567</v>
      </c>
      <c r="Z99" s="44">
        <f t="shared" ca="1" si="1"/>
        <v>16</v>
      </c>
    </row>
    <row r="100" spans="1:26" x14ac:dyDescent="0.25">
      <c r="A100" s="52" t="s">
        <v>290</v>
      </c>
      <c r="B100" s="52" t="s">
        <v>132</v>
      </c>
      <c r="C100" s="53">
        <v>70279</v>
      </c>
      <c r="D100" s="54">
        <v>117858</v>
      </c>
      <c r="K100" s="54"/>
      <c r="N100" s="62">
        <v>220000230</v>
      </c>
      <c r="O100" s="56">
        <v>3034273090</v>
      </c>
      <c r="P100" s="44"/>
      <c r="Q100" s="57">
        <v>27448</v>
      </c>
      <c r="R100" s="58" t="s">
        <v>87</v>
      </c>
      <c r="S100" s="45"/>
      <c r="T100" s="45"/>
      <c r="U100" s="59">
        <v>490005610</v>
      </c>
      <c r="V100" s="58" t="s">
        <v>287</v>
      </c>
      <c r="W100" s="60" t="s">
        <v>79</v>
      </c>
      <c r="X100" s="58" t="s">
        <v>94</v>
      </c>
      <c r="Y100" s="61">
        <f>37745+(6*364)</f>
        <v>39929</v>
      </c>
      <c r="Z100" s="44">
        <f t="shared" ca="1" si="1"/>
        <v>15</v>
      </c>
    </row>
    <row r="101" spans="1:26" x14ac:dyDescent="0.25">
      <c r="A101" s="52" t="s">
        <v>292</v>
      </c>
      <c r="B101" s="52" t="s">
        <v>132</v>
      </c>
      <c r="C101" s="53">
        <v>42021</v>
      </c>
      <c r="D101" s="54">
        <v>92987</v>
      </c>
      <c r="K101" s="54"/>
      <c r="N101" s="62">
        <v>220005001</v>
      </c>
      <c r="O101" s="56">
        <v>9708405552</v>
      </c>
      <c r="P101" s="44" t="s">
        <v>82</v>
      </c>
      <c r="Q101" s="57">
        <v>100453</v>
      </c>
      <c r="R101" s="58" t="s">
        <v>77</v>
      </c>
      <c r="S101" s="45"/>
      <c r="T101" s="45"/>
      <c r="U101" s="59">
        <v>463001277</v>
      </c>
      <c r="V101" s="58" t="s">
        <v>289</v>
      </c>
      <c r="W101" s="60" t="s">
        <v>89</v>
      </c>
      <c r="X101" s="58" t="s">
        <v>137</v>
      </c>
      <c r="Y101" s="61">
        <f>37598+(6*364)</f>
        <v>39782</v>
      </c>
      <c r="Z101" s="44">
        <f t="shared" ca="1" si="1"/>
        <v>16</v>
      </c>
    </row>
    <row r="102" spans="1:26" x14ac:dyDescent="0.25">
      <c r="A102" s="52" t="s">
        <v>294</v>
      </c>
      <c r="B102" s="52" t="s">
        <v>132</v>
      </c>
      <c r="C102" s="53">
        <v>23078</v>
      </c>
      <c r="D102" s="54">
        <v>73894</v>
      </c>
      <c r="K102" s="54"/>
      <c r="N102" s="62">
        <v>222009980</v>
      </c>
      <c r="O102" s="56">
        <v>5055699651</v>
      </c>
      <c r="P102" s="44"/>
      <c r="Q102" s="57">
        <v>94527</v>
      </c>
      <c r="R102" s="58" t="s">
        <v>87</v>
      </c>
      <c r="S102" s="45"/>
      <c r="T102" s="45"/>
      <c r="U102" s="59">
        <v>183002481</v>
      </c>
      <c r="V102" s="58" t="s">
        <v>291</v>
      </c>
      <c r="W102" s="60" t="s">
        <v>89</v>
      </c>
      <c r="X102" s="58" t="s">
        <v>80</v>
      </c>
      <c r="Y102" s="61">
        <f>35730+(6*364)</f>
        <v>37914</v>
      </c>
      <c r="Z102" s="44">
        <f t="shared" ca="1" si="1"/>
        <v>21</v>
      </c>
    </row>
    <row r="103" spans="1:26" x14ac:dyDescent="0.25">
      <c r="A103" s="52" t="s">
        <v>25</v>
      </c>
      <c r="B103" s="52" t="s">
        <v>190</v>
      </c>
      <c r="C103" s="53">
        <v>27575</v>
      </c>
      <c r="D103" s="54">
        <v>107118</v>
      </c>
      <c r="K103" s="54"/>
      <c r="N103" s="62">
        <v>223001965</v>
      </c>
      <c r="O103" s="56">
        <v>3033392642</v>
      </c>
      <c r="P103" s="44" t="s">
        <v>92</v>
      </c>
      <c r="Q103" s="57">
        <v>84766</v>
      </c>
      <c r="R103" s="58" t="s">
        <v>71</v>
      </c>
      <c r="S103" s="45"/>
      <c r="T103" s="45"/>
      <c r="U103" s="59">
        <v>815000995</v>
      </c>
      <c r="V103" s="58" t="s">
        <v>293</v>
      </c>
      <c r="W103" s="60" t="s">
        <v>154</v>
      </c>
      <c r="X103" s="58" t="s">
        <v>85</v>
      </c>
      <c r="Y103" s="61">
        <f>36871+(6*364)</f>
        <v>39055</v>
      </c>
      <c r="Z103" s="44">
        <f t="shared" ca="1" si="1"/>
        <v>18</v>
      </c>
    </row>
    <row r="104" spans="1:26" x14ac:dyDescent="0.25">
      <c r="A104" s="52" t="s">
        <v>297</v>
      </c>
      <c r="B104" s="52" t="s">
        <v>190</v>
      </c>
      <c r="C104" s="53">
        <v>98843</v>
      </c>
      <c r="D104" s="54">
        <v>51686</v>
      </c>
      <c r="K104" s="54"/>
      <c r="N104" s="62">
        <v>223008642</v>
      </c>
      <c r="O104" s="56">
        <v>7197474942</v>
      </c>
      <c r="P104" s="44" t="s">
        <v>92</v>
      </c>
      <c r="Q104" s="57">
        <v>48102</v>
      </c>
      <c r="R104" s="58" t="s">
        <v>71</v>
      </c>
      <c r="S104" s="45"/>
      <c r="T104" s="45"/>
      <c r="U104" s="59">
        <v>372000056</v>
      </c>
      <c r="V104" s="58" t="s">
        <v>295</v>
      </c>
      <c r="W104" s="60" t="s">
        <v>73</v>
      </c>
      <c r="X104" s="58" t="s">
        <v>205</v>
      </c>
      <c r="Y104" s="61">
        <f>35170+(6*364)</f>
        <v>37354</v>
      </c>
      <c r="Z104" s="44">
        <f t="shared" ca="1" si="1"/>
        <v>22</v>
      </c>
    </row>
    <row r="105" spans="1:26" x14ac:dyDescent="0.25">
      <c r="A105" s="52" t="s">
        <v>298</v>
      </c>
      <c r="B105" s="52" t="s">
        <v>190</v>
      </c>
      <c r="C105" s="53">
        <v>28165</v>
      </c>
      <c r="D105" s="54">
        <v>59525</v>
      </c>
      <c r="K105" s="54"/>
      <c r="N105" s="62">
        <v>223009864</v>
      </c>
      <c r="O105" s="56">
        <v>3033162442</v>
      </c>
      <c r="P105" s="44" t="s">
        <v>82</v>
      </c>
      <c r="Q105" s="57">
        <v>80100</v>
      </c>
      <c r="R105" s="58" t="s">
        <v>71</v>
      </c>
      <c r="S105" s="45"/>
      <c r="T105" s="45"/>
      <c r="U105" s="59">
        <v>908009023</v>
      </c>
      <c r="V105" s="58" t="s">
        <v>296</v>
      </c>
      <c r="W105" s="60" t="s">
        <v>73</v>
      </c>
      <c r="X105" s="58" t="s">
        <v>94</v>
      </c>
      <c r="Y105" s="61">
        <f>38008+(6*364)</f>
        <v>40192</v>
      </c>
      <c r="Z105" s="44">
        <f t="shared" ca="1" si="1"/>
        <v>15</v>
      </c>
    </row>
    <row r="106" spans="1:26" x14ac:dyDescent="0.25">
      <c r="A106" s="52" t="s">
        <v>300</v>
      </c>
      <c r="B106" s="52" t="s">
        <v>190</v>
      </c>
      <c r="C106" s="53">
        <v>45181</v>
      </c>
      <c r="D106" s="54">
        <v>106012</v>
      </c>
      <c r="K106" s="54"/>
      <c r="N106" s="62">
        <v>227002394</v>
      </c>
      <c r="O106" s="56">
        <v>3034483888</v>
      </c>
      <c r="P106" s="44" t="s">
        <v>70</v>
      </c>
      <c r="Q106" s="57">
        <v>113932</v>
      </c>
      <c r="R106" s="58" t="s">
        <v>71</v>
      </c>
      <c r="S106" s="45"/>
      <c r="T106" s="45"/>
      <c r="U106" s="59">
        <v>751006815</v>
      </c>
      <c r="V106" s="58" t="s">
        <v>86</v>
      </c>
      <c r="W106" s="60" t="s">
        <v>101</v>
      </c>
      <c r="X106" s="58" t="s">
        <v>147</v>
      </c>
      <c r="Y106" s="61">
        <f>42257+(6*364)</f>
        <v>44441</v>
      </c>
      <c r="Z106" s="44">
        <f t="shared" ca="1" si="1"/>
        <v>3</v>
      </c>
    </row>
    <row r="107" spans="1:26" x14ac:dyDescent="0.25">
      <c r="A107" s="52" t="s">
        <v>302</v>
      </c>
      <c r="B107" s="52" t="s">
        <v>190</v>
      </c>
      <c r="C107" s="53">
        <v>11652</v>
      </c>
      <c r="D107" s="54">
        <v>79176</v>
      </c>
      <c r="K107" s="54"/>
      <c r="N107" s="62">
        <v>228003664</v>
      </c>
      <c r="O107" s="56">
        <v>9701629556</v>
      </c>
      <c r="P107" s="44"/>
      <c r="Q107" s="57">
        <v>80325</v>
      </c>
      <c r="R107" s="58" t="s">
        <v>87</v>
      </c>
      <c r="S107" s="45"/>
      <c r="T107" s="45"/>
      <c r="U107" s="59">
        <v>900001203</v>
      </c>
      <c r="V107" s="58" t="s">
        <v>299</v>
      </c>
      <c r="W107" s="60" t="s">
        <v>101</v>
      </c>
      <c r="X107" s="58" t="s">
        <v>90</v>
      </c>
      <c r="Y107" s="61">
        <f>37731+(6*364)</f>
        <v>39915</v>
      </c>
      <c r="Z107" s="44">
        <f t="shared" ca="1" si="1"/>
        <v>15</v>
      </c>
    </row>
    <row r="108" spans="1:26" x14ac:dyDescent="0.25">
      <c r="A108" s="52" t="s">
        <v>304</v>
      </c>
      <c r="B108" s="52" t="s">
        <v>190</v>
      </c>
      <c r="C108" s="53">
        <v>62687</v>
      </c>
      <c r="D108" s="54">
        <v>70183</v>
      </c>
      <c r="K108" s="54"/>
      <c r="N108" s="62">
        <v>231005696</v>
      </c>
      <c r="O108" s="56">
        <v>5058183445</v>
      </c>
      <c r="P108" s="44" t="s">
        <v>99</v>
      </c>
      <c r="Q108" s="57">
        <v>89843</v>
      </c>
      <c r="R108" s="58" t="s">
        <v>71</v>
      </c>
      <c r="S108" s="45"/>
      <c r="T108" s="45"/>
      <c r="U108" s="59">
        <v>843000810</v>
      </c>
      <c r="V108" s="58" t="s">
        <v>301</v>
      </c>
      <c r="W108" s="60" t="s">
        <v>73</v>
      </c>
      <c r="X108" s="58" t="s">
        <v>173</v>
      </c>
      <c r="Y108" s="61">
        <f>38347+(6*364)</f>
        <v>40531</v>
      </c>
      <c r="Z108" s="44">
        <f t="shared" ca="1" si="1"/>
        <v>14</v>
      </c>
    </row>
    <row r="109" spans="1:26" x14ac:dyDescent="0.25">
      <c r="A109" s="52" t="s">
        <v>306</v>
      </c>
      <c r="B109" s="52" t="s">
        <v>190</v>
      </c>
      <c r="C109" s="53">
        <v>49011</v>
      </c>
      <c r="D109" s="54">
        <v>61649</v>
      </c>
      <c r="K109" s="54"/>
      <c r="N109" s="62">
        <v>233004556</v>
      </c>
      <c r="O109" s="56">
        <v>7196681578</v>
      </c>
      <c r="P109" s="44"/>
      <c r="Q109" s="57">
        <v>87953</v>
      </c>
      <c r="R109" s="58" t="s">
        <v>87</v>
      </c>
      <c r="S109" s="45"/>
      <c r="T109" s="45"/>
      <c r="U109" s="59">
        <v>107004258</v>
      </c>
      <c r="V109" s="58" t="s">
        <v>303</v>
      </c>
      <c r="W109" s="60" t="s">
        <v>73</v>
      </c>
      <c r="X109" s="58" t="s">
        <v>132</v>
      </c>
      <c r="Y109" s="61">
        <f>39807+(6*364)</f>
        <v>41991</v>
      </c>
      <c r="Z109" s="44">
        <f t="shared" ca="1" si="1"/>
        <v>10</v>
      </c>
    </row>
    <row r="110" spans="1:26" x14ac:dyDescent="0.25">
      <c r="A110" s="52" t="s">
        <v>308</v>
      </c>
      <c r="B110" s="52" t="s">
        <v>190</v>
      </c>
      <c r="C110" s="53">
        <v>29705</v>
      </c>
      <c r="D110" s="54">
        <v>64142</v>
      </c>
      <c r="K110" s="54"/>
      <c r="N110" s="62">
        <v>233005964</v>
      </c>
      <c r="O110" s="56">
        <v>7193575849</v>
      </c>
      <c r="P110" s="44"/>
      <c r="Q110" s="57">
        <v>92932</v>
      </c>
      <c r="R110" s="58" t="s">
        <v>109</v>
      </c>
      <c r="S110" s="45"/>
      <c r="T110" s="45"/>
      <c r="U110" s="59">
        <v>160000416</v>
      </c>
      <c r="V110" s="58" t="s">
        <v>305</v>
      </c>
      <c r="W110" s="60" t="s">
        <v>73</v>
      </c>
      <c r="X110" s="58" t="s">
        <v>74</v>
      </c>
      <c r="Y110" s="61">
        <f>37425+(6*364)</f>
        <v>39609</v>
      </c>
      <c r="Z110" s="44">
        <f t="shared" ca="1" si="1"/>
        <v>16</v>
      </c>
    </row>
    <row r="111" spans="1:26" x14ac:dyDescent="0.25">
      <c r="A111" s="52" t="s">
        <v>309</v>
      </c>
      <c r="B111" s="52" t="s">
        <v>190</v>
      </c>
      <c r="C111" s="53">
        <v>85580</v>
      </c>
      <c r="D111" s="54">
        <v>24617</v>
      </c>
      <c r="K111" s="54"/>
      <c r="N111" s="62">
        <v>239007621</v>
      </c>
      <c r="O111" s="56">
        <v>5054264889</v>
      </c>
      <c r="P111" s="44" t="s">
        <v>92</v>
      </c>
      <c r="Q111" s="57">
        <v>91638</v>
      </c>
      <c r="R111" s="58" t="s">
        <v>71</v>
      </c>
      <c r="S111" s="45"/>
      <c r="T111" s="45"/>
      <c r="U111" s="59">
        <v>558006739</v>
      </c>
      <c r="V111" s="58" t="s">
        <v>307</v>
      </c>
      <c r="W111" s="60" t="s">
        <v>73</v>
      </c>
      <c r="X111" s="58" t="s">
        <v>173</v>
      </c>
      <c r="Y111" s="61">
        <f>38450+(6*364)</f>
        <v>40634</v>
      </c>
      <c r="Z111" s="44">
        <f t="shared" ca="1" si="1"/>
        <v>13</v>
      </c>
    </row>
    <row r="112" spans="1:26" x14ac:dyDescent="0.25">
      <c r="A112" s="52" t="s">
        <v>149</v>
      </c>
      <c r="B112" s="52" t="s">
        <v>159</v>
      </c>
      <c r="C112" s="53">
        <v>75048</v>
      </c>
      <c r="D112" s="54">
        <v>33770</v>
      </c>
      <c r="K112" s="54"/>
      <c r="N112" s="62">
        <v>240003824</v>
      </c>
      <c r="O112" s="56">
        <v>5057889149</v>
      </c>
      <c r="P112" s="44" t="s">
        <v>82</v>
      </c>
      <c r="Q112" s="57">
        <v>115648</v>
      </c>
      <c r="R112" s="58" t="s">
        <v>77</v>
      </c>
      <c r="S112" s="45"/>
      <c r="T112" s="45"/>
      <c r="U112" s="59">
        <v>748000763</v>
      </c>
      <c r="V112" s="58" t="s">
        <v>183</v>
      </c>
      <c r="W112" s="60" t="s">
        <v>89</v>
      </c>
      <c r="X112" s="58" t="s">
        <v>159</v>
      </c>
      <c r="Y112" s="61">
        <f>37661+(6*364)</f>
        <v>39845</v>
      </c>
      <c r="Z112" s="44">
        <f t="shared" ca="1" si="1"/>
        <v>16</v>
      </c>
    </row>
    <row r="113" spans="1:26" x14ac:dyDescent="0.25">
      <c r="A113" s="52" t="s">
        <v>224</v>
      </c>
      <c r="B113" s="52" t="s">
        <v>159</v>
      </c>
      <c r="C113" s="53">
        <v>82119</v>
      </c>
      <c r="D113" s="54">
        <v>123111</v>
      </c>
      <c r="K113" s="54"/>
      <c r="N113" s="62">
        <v>241001094</v>
      </c>
      <c r="O113" s="56">
        <v>5057904981</v>
      </c>
      <c r="P113" s="44" t="s">
        <v>76</v>
      </c>
      <c r="Q113" s="57">
        <v>91478</v>
      </c>
      <c r="R113" s="58" t="s">
        <v>71</v>
      </c>
      <c r="S113" s="45"/>
      <c r="T113" s="45"/>
      <c r="U113" s="59">
        <v>794004221</v>
      </c>
      <c r="V113" s="58" t="s">
        <v>310</v>
      </c>
      <c r="W113" s="60" t="s">
        <v>79</v>
      </c>
      <c r="X113" s="58" t="s">
        <v>85</v>
      </c>
      <c r="Y113" s="61">
        <f>41795+(6*364)</f>
        <v>43979</v>
      </c>
      <c r="Z113" s="44">
        <f t="shared" ca="1" si="1"/>
        <v>4</v>
      </c>
    </row>
    <row r="114" spans="1:26" x14ac:dyDescent="0.25">
      <c r="A114" s="52" t="s">
        <v>237</v>
      </c>
      <c r="B114" s="52" t="s">
        <v>159</v>
      </c>
      <c r="C114" s="53">
        <v>23728</v>
      </c>
      <c r="D114" s="54">
        <v>61363</v>
      </c>
      <c r="K114" s="54"/>
      <c r="N114" s="62">
        <v>241006501</v>
      </c>
      <c r="O114" s="56">
        <v>7196822349</v>
      </c>
      <c r="P114" s="44" t="s">
        <v>82</v>
      </c>
      <c r="Q114" s="57">
        <v>57669</v>
      </c>
      <c r="R114" s="58" t="s">
        <v>71</v>
      </c>
      <c r="S114" s="45"/>
      <c r="T114" s="45"/>
      <c r="U114" s="59">
        <v>740003284</v>
      </c>
      <c r="V114" s="58" t="s">
        <v>311</v>
      </c>
      <c r="W114" s="60" t="s">
        <v>73</v>
      </c>
      <c r="X114" s="58" t="s">
        <v>85</v>
      </c>
      <c r="Y114" s="61">
        <f>38627+(6*364)</f>
        <v>40811</v>
      </c>
      <c r="Z114" s="44">
        <f t="shared" ca="1" si="1"/>
        <v>13</v>
      </c>
    </row>
    <row r="115" spans="1:26" x14ac:dyDescent="0.25">
      <c r="A115" s="52" t="s">
        <v>313</v>
      </c>
      <c r="B115" s="52" t="s">
        <v>159</v>
      </c>
      <c r="C115" s="53">
        <v>87631</v>
      </c>
      <c r="D115" s="54">
        <v>126677</v>
      </c>
      <c r="K115" s="54"/>
      <c r="N115" s="62">
        <v>243004879</v>
      </c>
      <c r="O115" s="56">
        <v>5056169135</v>
      </c>
      <c r="P115" s="44" t="s">
        <v>92</v>
      </c>
      <c r="Q115" s="57">
        <v>121479</v>
      </c>
      <c r="R115" s="58" t="s">
        <v>77</v>
      </c>
      <c r="S115" s="45"/>
      <c r="T115" s="45"/>
      <c r="U115" s="59">
        <v>656005972</v>
      </c>
      <c r="V115" s="58" t="s">
        <v>162</v>
      </c>
      <c r="W115" s="60" t="s">
        <v>73</v>
      </c>
      <c r="X115" s="58" t="s">
        <v>132</v>
      </c>
      <c r="Y115" s="61">
        <f>41847+(6*364)</f>
        <v>44031</v>
      </c>
      <c r="Z115" s="44">
        <f t="shared" ca="1" si="1"/>
        <v>4</v>
      </c>
    </row>
    <row r="116" spans="1:26" x14ac:dyDescent="0.25">
      <c r="A116" s="52" t="s">
        <v>315</v>
      </c>
      <c r="B116" s="52" t="s">
        <v>159</v>
      </c>
      <c r="C116" s="53">
        <v>78080</v>
      </c>
      <c r="D116" s="54">
        <v>127055</v>
      </c>
      <c r="K116" s="54"/>
      <c r="N116" s="62">
        <v>247000806</v>
      </c>
      <c r="O116" s="56">
        <v>9704936058</v>
      </c>
      <c r="P116" s="44" t="s">
        <v>99</v>
      </c>
      <c r="Q116" s="57">
        <v>97828</v>
      </c>
      <c r="R116" s="58" t="s">
        <v>71</v>
      </c>
      <c r="S116" s="45"/>
      <c r="T116" s="45"/>
      <c r="U116" s="59">
        <v>328002109</v>
      </c>
      <c r="V116" s="58" t="s">
        <v>312</v>
      </c>
      <c r="W116" s="60" t="s">
        <v>89</v>
      </c>
      <c r="X116" s="58" t="s">
        <v>173</v>
      </c>
      <c r="Y116" s="61">
        <f>37785+(6*364)</f>
        <v>39969</v>
      </c>
      <c r="Z116" s="44">
        <f t="shared" ca="1" si="1"/>
        <v>15</v>
      </c>
    </row>
    <row r="117" spans="1:26" x14ac:dyDescent="0.25">
      <c r="A117" s="52" t="s">
        <v>316</v>
      </c>
      <c r="B117" s="52" t="s">
        <v>159</v>
      </c>
      <c r="C117" s="53">
        <v>79483</v>
      </c>
      <c r="D117" s="54">
        <v>42378</v>
      </c>
      <c r="K117" s="54"/>
      <c r="N117" s="62">
        <v>247001112</v>
      </c>
      <c r="O117" s="56">
        <v>5056245634</v>
      </c>
      <c r="P117" s="44" t="s">
        <v>99</v>
      </c>
      <c r="Q117" s="57">
        <v>94655</v>
      </c>
      <c r="R117" s="58" t="s">
        <v>71</v>
      </c>
      <c r="S117" s="45"/>
      <c r="T117" s="45"/>
      <c r="U117" s="59">
        <v>642001000</v>
      </c>
      <c r="V117" s="58" t="s">
        <v>314</v>
      </c>
      <c r="W117" s="60" t="s">
        <v>84</v>
      </c>
      <c r="X117" s="58" t="s">
        <v>85</v>
      </c>
      <c r="Y117" s="61">
        <f>37442+(6*364)</f>
        <v>39626</v>
      </c>
      <c r="Z117" s="44">
        <f t="shared" ca="1" si="1"/>
        <v>16</v>
      </c>
    </row>
    <row r="118" spans="1:26" x14ac:dyDescent="0.25">
      <c r="A118" s="52" t="s">
        <v>318</v>
      </c>
      <c r="B118" s="52" t="s">
        <v>159</v>
      </c>
      <c r="C118" s="53">
        <v>53174</v>
      </c>
      <c r="D118" s="54">
        <v>78625</v>
      </c>
      <c r="K118" s="54"/>
      <c r="N118" s="62">
        <v>249006621</v>
      </c>
      <c r="O118" s="56">
        <v>3037422559</v>
      </c>
      <c r="P118" s="44" t="s">
        <v>99</v>
      </c>
      <c r="Q118" s="57">
        <v>68122</v>
      </c>
      <c r="R118" s="58" t="s">
        <v>77</v>
      </c>
      <c r="S118" s="45"/>
      <c r="T118" s="45"/>
      <c r="U118" s="59">
        <v>223001965</v>
      </c>
      <c r="V118" s="58" t="s">
        <v>25</v>
      </c>
      <c r="W118" s="60" t="s">
        <v>73</v>
      </c>
      <c r="X118" s="58" t="s">
        <v>90</v>
      </c>
      <c r="Y118" s="61">
        <f>36948+(6*364)</f>
        <v>39132</v>
      </c>
      <c r="Z118" s="44">
        <f t="shared" ca="1" si="1"/>
        <v>18</v>
      </c>
    </row>
    <row r="119" spans="1:26" x14ac:dyDescent="0.25">
      <c r="A119" s="52" t="s">
        <v>320</v>
      </c>
      <c r="B119" s="52" t="s">
        <v>159</v>
      </c>
      <c r="C119" s="53">
        <v>38231</v>
      </c>
      <c r="D119" s="54">
        <v>123213</v>
      </c>
      <c r="K119" s="54"/>
      <c r="N119" s="62">
        <v>251006698</v>
      </c>
      <c r="O119" s="56">
        <v>9706648050</v>
      </c>
      <c r="P119" s="44" t="s">
        <v>82</v>
      </c>
      <c r="Q119" s="57">
        <v>85824</v>
      </c>
      <c r="R119" s="58" t="s">
        <v>71</v>
      </c>
      <c r="S119" s="45"/>
      <c r="T119" s="45"/>
      <c r="U119" s="59">
        <v>510006317</v>
      </c>
      <c r="V119" s="58" t="s">
        <v>317</v>
      </c>
      <c r="W119" s="60" t="s">
        <v>84</v>
      </c>
      <c r="X119" s="58" t="s">
        <v>90</v>
      </c>
      <c r="Y119" s="61">
        <f>42099+(6*364)</f>
        <v>44283</v>
      </c>
      <c r="Z119" s="44">
        <f t="shared" ca="1" si="1"/>
        <v>3</v>
      </c>
    </row>
    <row r="120" spans="1:26" x14ac:dyDescent="0.25">
      <c r="A120" s="52" t="s">
        <v>322</v>
      </c>
      <c r="B120" s="52" t="s">
        <v>159</v>
      </c>
      <c r="C120" s="53">
        <v>36394</v>
      </c>
      <c r="D120" s="54">
        <v>29327</v>
      </c>
      <c r="K120" s="54"/>
      <c r="N120" s="62">
        <v>253005904</v>
      </c>
      <c r="O120" s="56">
        <v>3032168237</v>
      </c>
      <c r="P120" s="44" t="s">
        <v>92</v>
      </c>
      <c r="Q120" s="57">
        <v>122460</v>
      </c>
      <c r="R120" s="58" t="s">
        <v>77</v>
      </c>
      <c r="S120" s="45"/>
      <c r="T120" s="45"/>
      <c r="U120" s="59">
        <v>343002084</v>
      </c>
      <c r="V120" s="58" t="s">
        <v>319</v>
      </c>
      <c r="W120" s="60" t="s">
        <v>84</v>
      </c>
      <c r="X120" s="58" t="s">
        <v>147</v>
      </c>
      <c r="Y120" s="61">
        <f>39751+(6*364)</f>
        <v>41935</v>
      </c>
      <c r="Z120" s="44">
        <f t="shared" ca="1" si="1"/>
        <v>10</v>
      </c>
    </row>
    <row r="121" spans="1:26" x14ac:dyDescent="0.25">
      <c r="A121" s="52" t="s">
        <v>324</v>
      </c>
      <c r="B121" s="52" t="s">
        <v>159</v>
      </c>
      <c r="C121" s="53">
        <v>49275</v>
      </c>
      <c r="D121" s="54">
        <v>117246</v>
      </c>
      <c r="K121" s="54"/>
      <c r="N121" s="62">
        <v>254006623</v>
      </c>
      <c r="O121" s="56">
        <v>3034900864</v>
      </c>
      <c r="P121" s="44"/>
      <c r="Q121" s="57">
        <v>57359</v>
      </c>
      <c r="R121" s="58" t="s">
        <v>109</v>
      </c>
      <c r="S121" s="45"/>
      <c r="T121" s="45"/>
      <c r="U121" s="59">
        <v>655003417</v>
      </c>
      <c r="V121" s="58" t="s">
        <v>321</v>
      </c>
      <c r="W121" s="60" t="s">
        <v>73</v>
      </c>
      <c r="X121" s="58" t="s">
        <v>107</v>
      </c>
      <c r="Y121" s="61">
        <f>39709+(6*364)</f>
        <v>41893</v>
      </c>
      <c r="Z121" s="44">
        <f t="shared" ca="1" si="1"/>
        <v>10</v>
      </c>
    </row>
    <row r="122" spans="1:26" x14ac:dyDescent="0.25">
      <c r="A122" s="52" t="s">
        <v>326</v>
      </c>
      <c r="B122" s="52" t="s">
        <v>159</v>
      </c>
      <c r="C122" s="53">
        <v>63191</v>
      </c>
      <c r="D122" s="54">
        <v>100438</v>
      </c>
      <c r="K122" s="54"/>
      <c r="N122" s="62">
        <v>256002416</v>
      </c>
      <c r="O122" s="56">
        <v>5055185281</v>
      </c>
      <c r="P122" s="44" t="s">
        <v>92</v>
      </c>
      <c r="Q122" s="57">
        <v>59346</v>
      </c>
      <c r="R122" s="58" t="s">
        <v>71</v>
      </c>
      <c r="S122" s="45"/>
      <c r="T122" s="45"/>
      <c r="U122" s="59">
        <v>458002691</v>
      </c>
      <c r="V122" s="58" t="s">
        <v>323</v>
      </c>
      <c r="W122" s="60" t="s">
        <v>154</v>
      </c>
      <c r="X122" s="58" t="s">
        <v>90</v>
      </c>
      <c r="Y122" s="61">
        <f>38008+(6*364)</f>
        <v>40192</v>
      </c>
      <c r="Z122" s="44">
        <f t="shared" ca="1" si="1"/>
        <v>15</v>
      </c>
    </row>
    <row r="123" spans="1:26" x14ac:dyDescent="0.25">
      <c r="A123" s="52" t="s">
        <v>327</v>
      </c>
      <c r="B123" s="52" t="s">
        <v>159</v>
      </c>
      <c r="C123" s="53">
        <v>37951</v>
      </c>
      <c r="D123" s="54">
        <v>79540</v>
      </c>
      <c r="K123" s="54"/>
      <c r="N123" s="62">
        <v>257004341</v>
      </c>
      <c r="O123" s="56">
        <v>5053976775</v>
      </c>
      <c r="P123" s="44" t="s">
        <v>99</v>
      </c>
      <c r="Q123" s="57">
        <v>101035</v>
      </c>
      <c r="R123" s="58" t="s">
        <v>77</v>
      </c>
      <c r="S123" s="45"/>
      <c r="T123" s="45"/>
      <c r="U123" s="59">
        <v>944004072</v>
      </c>
      <c r="V123" s="58" t="s">
        <v>325</v>
      </c>
      <c r="W123" s="60" t="s">
        <v>154</v>
      </c>
      <c r="X123" s="58" t="s">
        <v>147</v>
      </c>
      <c r="Y123" s="61">
        <f>37074+(6*364)</f>
        <v>39258</v>
      </c>
      <c r="Z123" s="44">
        <f t="shared" ca="1" si="1"/>
        <v>17</v>
      </c>
    </row>
    <row r="124" spans="1:26" x14ac:dyDescent="0.25">
      <c r="A124" s="52" t="s">
        <v>329</v>
      </c>
      <c r="B124" s="52" t="s">
        <v>159</v>
      </c>
      <c r="C124" s="53">
        <v>92374</v>
      </c>
      <c r="D124" s="54">
        <v>73561</v>
      </c>
      <c r="K124" s="54"/>
      <c r="N124" s="62">
        <v>257005711</v>
      </c>
      <c r="O124" s="56">
        <v>9706632360</v>
      </c>
      <c r="P124" s="44"/>
      <c r="Q124" s="57">
        <v>58807</v>
      </c>
      <c r="R124" s="58" t="s">
        <v>87</v>
      </c>
      <c r="S124" s="45"/>
      <c r="T124" s="45"/>
      <c r="U124" s="59">
        <v>261005620</v>
      </c>
      <c r="V124" s="58" t="s">
        <v>185</v>
      </c>
      <c r="W124" s="60" t="s">
        <v>73</v>
      </c>
      <c r="X124" s="58" t="s">
        <v>90</v>
      </c>
      <c r="Y124" s="61">
        <f>37627+(6*364)</f>
        <v>39811</v>
      </c>
      <c r="Z124" s="44">
        <f t="shared" ca="1" si="1"/>
        <v>16</v>
      </c>
    </row>
    <row r="125" spans="1:26" x14ac:dyDescent="0.25">
      <c r="A125" s="52" t="s">
        <v>331</v>
      </c>
      <c r="B125" s="52" t="s">
        <v>159</v>
      </c>
      <c r="C125" s="53">
        <v>49130</v>
      </c>
      <c r="D125" s="54">
        <v>95869</v>
      </c>
      <c r="K125" s="54"/>
      <c r="N125" s="62">
        <v>257009745</v>
      </c>
      <c r="O125" s="56">
        <v>9708006736</v>
      </c>
      <c r="P125" s="44"/>
      <c r="Q125" s="57">
        <v>37758</v>
      </c>
      <c r="R125" s="58" t="s">
        <v>87</v>
      </c>
      <c r="S125" s="45"/>
      <c r="T125" s="45"/>
      <c r="U125" s="59">
        <v>408006315</v>
      </c>
      <c r="V125" s="58" t="s">
        <v>328</v>
      </c>
      <c r="W125" s="60" t="s">
        <v>89</v>
      </c>
      <c r="X125" s="58" t="s">
        <v>147</v>
      </c>
      <c r="Y125" s="61">
        <f>37305+(6*364)</f>
        <v>39489</v>
      </c>
      <c r="Z125" s="44">
        <f t="shared" ca="1" si="1"/>
        <v>17</v>
      </c>
    </row>
    <row r="126" spans="1:26" x14ac:dyDescent="0.25">
      <c r="A126" s="52" t="s">
        <v>333</v>
      </c>
      <c r="B126" s="52" t="s">
        <v>159</v>
      </c>
      <c r="C126" s="53">
        <v>71407</v>
      </c>
      <c r="D126" s="54">
        <v>133182</v>
      </c>
      <c r="K126" s="54"/>
      <c r="N126" s="62">
        <v>258005635</v>
      </c>
      <c r="O126" s="56">
        <v>7197469217</v>
      </c>
      <c r="P126" s="44" t="s">
        <v>82</v>
      </c>
      <c r="Q126" s="57">
        <v>120887</v>
      </c>
      <c r="R126" s="58" t="s">
        <v>77</v>
      </c>
      <c r="S126" s="45"/>
      <c r="T126" s="45"/>
      <c r="U126" s="59">
        <v>835009408</v>
      </c>
      <c r="V126" s="58" t="s">
        <v>330</v>
      </c>
      <c r="W126" s="60" t="s">
        <v>73</v>
      </c>
      <c r="X126" s="58" t="s">
        <v>159</v>
      </c>
      <c r="Y126" s="61">
        <f>35918+(6*364)</f>
        <v>38102</v>
      </c>
      <c r="Z126" s="44">
        <f t="shared" ca="1" si="1"/>
        <v>20</v>
      </c>
    </row>
    <row r="127" spans="1:26" x14ac:dyDescent="0.25">
      <c r="A127" s="52" t="s">
        <v>335</v>
      </c>
      <c r="B127" s="52" t="s">
        <v>159</v>
      </c>
      <c r="C127" s="53">
        <v>24709</v>
      </c>
      <c r="D127" s="54">
        <v>69055</v>
      </c>
      <c r="K127" s="54"/>
      <c r="N127" s="62">
        <v>259005655</v>
      </c>
      <c r="O127" s="56">
        <v>9705230846</v>
      </c>
      <c r="P127" s="44"/>
      <c r="Q127" s="57">
        <v>98529</v>
      </c>
      <c r="R127" s="58" t="s">
        <v>109</v>
      </c>
      <c r="S127" s="45"/>
      <c r="T127" s="45"/>
      <c r="U127" s="59">
        <v>580008329</v>
      </c>
      <c r="V127" s="58" t="s">
        <v>332</v>
      </c>
      <c r="W127" s="60" t="s">
        <v>79</v>
      </c>
      <c r="X127" s="58" t="s">
        <v>137</v>
      </c>
      <c r="Y127" s="61">
        <f>37488+(6*364)</f>
        <v>39672</v>
      </c>
      <c r="Z127" s="44">
        <f t="shared" ca="1" si="1"/>
        <v>16</v>
      </c>
    </row>
    <row r="128" spans="1:26" x14ac:dyDescent="0.25">
      <c r="A128" s="52" t="s">
        <v>337</v>
      </c>
      <c r="B128" s="52" t="s">
        <v>159</v>
      </c>
      <c r="C128" s="53">
        <v>67905</v>
      </c>
      <c r="D128" s="54">
        <v>95607</v>
      </c>
      <c r="K128" s="54"/>
      <c r="N128" s="62">
        <v>261005620</v>
      </c>
      <c r="O128" s="56">
        <v>7191408985</v>
      </c>
      <c r="P128" s="44" t="s">
        <v>82</v>
      </c>
      <c r="Q128" s="57">
        <v>112173</v>
      </c>
      <c r="R128" s="58" t="s">
        <v>71</v>
      </c>
      <c r="S128" s="45"/>
      <c r="T128" s="45"/>
      <c r="U128" s="59">
        <v>859009853</v>
      </c>
      <c r="V128" s="58" t="s">
        <v>334</v>
      </c>
      <c r="W128" s="60" t="s">
        <v>84</v>
      </c>
      <c r="X128" s="58" t="s">
        <v>90</v>
      </c>
      <c r="Y128" s="61">
        <f>41236+(6*364)</f>
        <v>43420</v>
      </c>
      <c r="Z128" s="44">
        <f t="shared" ca="1" si="1"/>
        <v>6</v>
      </c>
    </row>
    <row r="129" spans="1:26" x14ac:dyDescent="0.25">
      <c r="A129" s="52" t="s">
        <v>339</v>
      </c>
      <c r="B129" s="52" t="s">
        <v>159</v>
      </c>
      <c r="C129" s="53">
        <v>53493</v>
      </c>
      <c r="D129" s="54">
        <v>64449</v>
      </c>
      <c r="K129" s="54"/>
      <c r="N129" s="62">
        <v>262002916</v>
      </c>
      <c r="O129" s="56">
        <v>7194160215</v>
      </c>
      <c r="P129" s="44" t="s">
        <v>99</v>
      </c>
      <c r="Q129" s="57">
        <v>77102</v>
      </c>
      <c r="R129" s="58" t="s">
        <v>71</v>
      </c>
      <c r="S129" s="45"/>
      <c r="T129" s="45"/>
      <c r="U129" s="59">
        <v>881000759</v>
      </c>
      <c r="V129" s="58" t="s">
        <v>336</v>
      </c>
      <c r="W129" s="60" t="s">
        <v>73</v>
      </c>
      <c r="X129" s="58" t="s">
        <v>80</v>
      </c>
      <c r="Y129" s="61">
        <f>36050+(6*364)</f>
        <v>38234</v>
      </c>
      <c r="Z129" s="44">
        <f t="shared" ca="1" si="1"/>
        <v>20</v>
      </c>
    </row>
    <row r="130" spans="1:26" x14ac:dyDescent="0.25">
      <c r="A130" s="52" t="s">
        <v>341</v>
      </c>
      <c r="B130" s="52" t="s">
        <v>159</v>
      </c>
      <c r="C130" s="53">
        <v>67333</v>
      </c>
      <c r="D130" s="54">
        <v>113420</v>
      </c>
      <c r="K130" s="54"/>
      <c r="N130" s="62">
        <v>263004697</v>
      </c>
      <c r="O130" s="56">
        <v>3034310812</v>
      </c>
      <c r="P130" s="44" t="s">
        <v>82</v>
      </c>
      <c r="Q130" s="57">
        <v>84920</v>
      </c>
      <c r="R130" s="58" t="s">
        <v>71</v>
      </c>
      <c r="S130" s="45"/>
      <c r="T130" s="45"/>
      <c r="U130" s="59">
        <v>516008993</v>
      </c>
      <c r="V130" s="58" t="s">
        <v>338</v>
      </c>
      <c r="W130" s="60" t="s">
        <v>84</v>
      </c>
      <c r="X130" s="58" t="s">
        <v>90</v>
      </c>
      <c r="Y130" s="61">
        <f>41379+(6*364)</f>
        <v>43563</v>
      </c>
      <c r="Z130" s="44">
        <f t="shared" ref="Z130:Z193" ca="1" si="2">DATEDIF(Y130,TODAY(),"Y")</f>
        <v>5</v>
      </c>
    </row>
    <row r="131" spans="1:26" x14ac:dyDescent="0.25">
      <c r="A131" s="52" t="s">
        <v>282</v>
      </c>
      <c r="B131" s="52" t="s">
        <v>343</v>
      </c>
      <c r="C131" s="53">
        <v>77378</v>
      </c>
      <c r="D131" s="54">
        <v>103742</v>
      </c>
      <c r="K131" s="54"/>
      <c r="N131" s="62">
        <v>265009772</v>
      </c>
      <c r="O131" s="56">
        <v>9701838930</v>
      </c>
      <c r="P131" s="44" t="s">
        <v>99</v>
      </c>
      <c r="Q131" s="57">
        <v>64441</v>
      </c>
      <c r="R131" s="58" t="s">
        <v>71</v>
      </c>
      <c r="S131" s="45"/>
      <c r="T131" s="45"/>
      <c r="U131" s="59">
        <v>606002200</v>
      </c>
      <c r="V131" s="58" t="s">
        <v>340</v>
      </c>
      <c r="W131" s="60" t="s">
        <v>84</v>
      </c>
      <c r="X131" s="58" t="s">
        <v>281</v>
      </c>
      <c r="Y131" s="61">
        <f>38481+(6*364)</f>
        <v>40665</v>
      </c>
      <c r="Z131" s="44">
        <f t="shared" ca="1" si="2"/>
        <v>13</v>
      </c>
    </row>
    <row r="132" spans="1:26" x14ac:dyDescent="0.25">
      <c r="A132" s="52" t="s">
        <v>299</v>
      </c>
      <c r="B132" s="52" t="s">
        <v>343</v>
      </c>
      <c r="C132" s="53">
        <v>36954</v>
      </c>
      <c r="D132" s="54">
        <v>115850</v>
      </c>
      <c r="K132" s="54"/>
      <c r="N132" s="62">
        <v>266009123</v>
      </c>
      <c r="O132" s="56">
        <v>3034743535</v>
      </c>
      <c r="P132" s="44"/>
      <c r="Q132" s="57">
        <v>87611</v>
      </c>
      <c r="R132" s="58" t="s">
        <v>109</v>
      </c>
      <c r="S132" s="45"/>
      <c r="T132" s="45"/>
      <c r="U132" s="59">
        <v>572001257</v>
      </c>
      <c r="V132" s="58" t="s">
        <v>342</v>
      </c>
      <c r="W132" s="60" t="s">
        <v>84</v>
      </c>
      <c r="X132" s="58" t="s">
        <v>281</v>
      </c>
      <c r="Y132" s="61">
        <f>42467+(6*364)</f>
        <v>44651</v>
      </c>
      <c r="Z132" s="44">
        <f t="shared" ca="1" si="2"/>
        <v>2</v>
      </c>
    </row>
    <row r="133" spans="1:26" x14ac:dyDescent="0.25">
      <c r="A133" s="52" t="s">
        <v>346</v>
      </c>
      <c r="B133" s="52" t="s">
        <v>343</v>
      </c>
      <c r="C133" s="53">
        <v>33742</v>
      </c>
      <c r="D133" s="54">
        <v>94020</v>
      </c>
      <c r="K133" s="54"/>
      <c r="N133" s="62">
        <v>271004322</v>
      </c>
      <c r="O133" s="56">
        <v>5054980674</v>
      </c>
      <c r="P133" s="44"/>
      <c r="Q133" s="57">
        <v>62889</v>
      </c>
      <c r="R133" s="58" t="s">
        <v>87</v>
      </c>
      <c r="S133" s="45"/>
      <c r="T133" s="45"/>
      <c r="U133" s="59">
        <v>440009865</v>
      </c>
      <c r="V133" s="58" t="s">
        <v>344</v>
      </c>
      <c r="W133" s="60" t="s">
        <v>73</v>
      </c>
      <c r="X133" s="58" t="s">
        <v>173</v>
      </c>
      <c r="Y133" s="61">
        <f>37421+(6*364)</f>
        <v>39605</v>
      </c>
      <c r="Z133" s="44">
        <f t="shared" ca="1" si="2"/>
        <v>16</v>
      </c>
    </row>
    <row r="134" spans="1:26" x14ac:dyDescent="0.25">
      <c r="A134" s="52" t="s">
        <v>348</v>
      </c>
      <c r="B134" s="52" t="s">
        <v>343</v>
      </c>
      <c r="C134" s="53">
        <v>65323</v>
      </c>
      <c r="D134" s="54">
        <v>75523</v>
      </c>
      <c r="K134" s="54"/>
      <c r="N134" s="62">
        <v>272002380</v>
      </c>
      <c r="O134" s="56">
        <v>9708577225</v>
      </c>
      <c r="P134" s="44"/>
      <c r="Q134" s="57">
        <v>45256</v>
      </c>
      <c r="R134" s="58" t="s">
        <v>87</v>
      </c>
      <c r="S134" s="45"/>
      <c r="T134" s="45"/>
      <c r="U134" s="59">
        <v>297000280</v>
      </c>
      <c r="V134" s="58" t="s">
        <v>345</v>
      </c>
      <c r="W134" s="60" t="s">
        <v>73</v>
      </c>
      <c r="X134" s="58" t="s">
        <v>104</v>
      </c>
      <c r="Y134" s="61">
        <f>40840+(6*364)</f>
        <v>43024</v>
      </c>
      <c r="Z134" s="44">
        <f t="shared" ca="1" si="2"/>
        <v>7</v>
      </c>
    </row>
    <row r="135" spans="1:26" x14ac:dyDescent="0.25">
      <c r="A135" s="52" t="s">
        <v>349</v>
      </c>
      <c r="B135" s="52" t="s">
        <v>343</v>
      </c>
      <c r="C135" s="53">
        <v>60351</v>
      </c>
      <c r="D135" s="54">
        <v>121802</v>
      </c>
      <c r="K135" s="54"/>
      <c r="N135" s="62">
        <v>276005891</v>
      </c>
      <c r="O135" s="56">
        <v>7191559081</v>
      </c>
      <c r="P135" s="44" t="s">
        <v>70</v>
      </c>
      <c r="Q135" s="57">
        <v>58101</v>
      </c>
      <c r="R135" s="58" t="s">
        <v>77</v>
      </c>
      <c r="S135" s="45"/>
      <c r="T135" s="45"/>
      <c r="U135" s="59">
        <v>725003649</v>
      </c>
      <c r="V135" s="58" t="s">
        <v>347</v>
      </c>
      <c r="W135" s="60" t="s">
        <v>79</v>
      </c>
      <c r="X135" s="58" t="s">
        <v>90</v>
      </c>
      <c r="Y135" s="61">
        <f>36087+(6*364)</f>
        <v>38271</v>
      </c>
      <c r="Z135" s="44">
        <f t="shared" ca="1" si="2"/>
        <v>20</v>
      </c>
    </row>
    <row r="136" spans="1:26" x14ac:dyDescent="0.25">
      <c r="A136" s="52" t="s">
        <v>138</v>
      </c>
      <c r="B136" s="52" t="s">
        <v>74</v>
      </c>
      <c r="C136" s="53">
        <v>57731</v>
      </c>
      <c r="D136" s="54">
        <v>72295</v>
      </c>
      <c r="K136" s="54"/>
      <c r="N136" s="62">
        <v>278004750</v>
      </c>
      <c r="O136" s="56">
        <v>7195818082</v>
      </c>
      <c r="P136" s="44"/>
      <c r="Q136" s="57">
        <v>39791</v>
      </c>
      <c r="R136" s="58" t="s">
        <v>109</v>
      </c>
      <c r="S136" s="45"/>
      <c r="T136" s="45"/>
      <c r="U136" s="59">
        <v>382004268</v>
      </c>
      <c r="V136" s="58" t="s">
        <v>139</v>
      </c>
      <c r="W136" s="60" t="s">
        <v>154</v>
      </c>
      <c r="X136" s="58" t="s">
        <v>94</v>
      </c>
      <c r="Y136" s="61">
        <f>39772+(6*364)</f>
        <v>41956</v>
      </c>
      <c r="Z136" s="44">
        <f t="shared" ca="1" si="2"/>
        <v>10</v>
      </c>
    </row>
    <row r="137" spans="1:26" x14ac:dyDescent="0.25">
      <c r="A137" s="52" t="s">
        <v>218</v>
      </c>
      <c r="B137" s="52" t="s">
        <v>74</v>
      </c>
      <c r="C137" s="53">
        <v>59095</v>
      </c>
      <c r="D137" s="54">
        <v>78843</v>
      </c>
      <c r="K137" s="54"/>
      <c r="N137" s="62">
        <v>278008893</v>
      </c>
      <c r="O137" s="56">
        <v>7193355152</v>
      </c>
      <c r="P137" s="44"/>
      <c r="Q137" s="57">
        <v>61456</v>
      </c>
      <c r="R137" s="58" t="s">
        <v>87</v>
      </c>
      <c r="S137" s="45"/>
      <c r="T137" s="45"/>
      <c r="U137" s="59">
        <v>204003785</v>
      </c>
      <c r="V137" s="58" t="s">
        <v>350</v>
      </c>
      <c r="W137" s="60" t="s">
        <v>73</v>
      </c>
      <c r="X137" s="58" t="s">
        <v>85</v>
      </c>
      <c r="Y137" s="61">
        <f>35958+(6*364)</f>
        <v>38142</v>
      </c>
      <c r="Z137" s="44">
        <f t="shared" ca="1" si="2"/>
        <v>20</v>
      </c>
    </row>
    <row r="138" spans="1:26" x14ac:dyDescent="0.25">
      <c r="A138" s="52" t="s">
        <v>228</v>
      </c>
      <c r="B138" s="52" t="s">
        <v>74</v>
      </c>
      <c r="C138" s="53">
        <v>23369</v>
      </c>
      <c r="D138" s="54">
        <v>71815</v>
      </c>
      <c r="K138" s="54"/>
      <c r="N138" s="62">
        <v>279001556</v>
      </c>
      <c r="O138" s="56">
        <v>3032639452</v>
      </c>
      <c r="P138" s="44" t="s">
        <v>99</v>
      </c>
      <c r="Q138" s="57">
        <v>59922</v>
      </c>
      <c r="R138" s="58" t="s">
        <v>71</v>
      </c>
      <c r="S138" s="45"/>
      <c r="T138" s="45"/>
      <c r="U138" s="59">
        <v>324005969</v>
      </c>
      <c r="V138" s="58" t="s">
        <v>351</v>
      </c>
      <c r="W138" s="60" t="s">
        <v>73</v>
      </c>
      <c r="X138" s="58" t="s">
        <v>74</v>
      </c>
      <c r="Y138" s="61">
        <f>36994+(6*364)</f>
        <v>39178</v>
      </c>
      <c r="Z138" s="44">
        <f t="shared" ca="1" si="2"/>
        <v>17</v>
      </c>
    </row>
    <row r="139" spans="1:26" x14ac:dyDescent="0.25">
      <c r="A139" s="52" t="s">
        <v>232</v>
      </c>
      <c r="B139" s="52" t="s">
        <v>74</v>
      </c>
      <c r="C139" s="53">
        <v>97779</v>
      </c>
      <c r="D139" s="54">
        <v>50377</v>
      </c>
      <c r="K139" s="54"/>
      <c r="N139" s="62">
        <v>281007639</v>
      </c>
      <c r="O139" s="56">
        <v>7193906310</v>
      </c>
      <c r="P139" s="44" t="s">
        <v>99</v>
      </c>
      <c r="Q139" s="57">
        <v>77370</v>
      </c>
      <c r="R139" s="58" t="s">
        <v>71</v>
      </c>
      <c r="S139" s="45"/>
      <c r="T139" s="45"/>
      <c r="U139" s="59">
        <v>206006492</v>
      </c>
      <c r="V139" s="58" t="s">
        <v>187</v>
      </c>
      <c r="W139" s="60" t="s">
        <v>101</v>
      </c>
      <c r="X139" s="58" t="s">
        <v>104</v>
      </c>
      <c r="Y139" s="61">
        <f>42392+(6*364)</f>
        <v>44576</v>
      </c>
      <c r="Z139" s="44">
        <f t="shared" ca="1" si="2"/>
        <v>3</v>
      </c>
    </row>
    <row r="140" spans="1:26" x14ac:dyDescent="0.25">
      <c r="A140" s="52" t="s">
        <v>278</v>
      </c>
      <c r="B140" s="52" t="s">
        <v>74</v>
      </c>
      <c r="C140" s="53">
        <v>86453</v>
      </c>
      <c r="D140" s="54">
        <v>76115</v>
      </c>
      <c r="K140" s="54"/>
      <c r="N140" s="62">
        <v>283008404</v>
      </c>
      <c r="O140" s="56">
        <v>3032687844</v>
      </c>
      <c r="P140" s="44"/>
      <c r="Q140" s="57">
        <v>68923</v>
      </c>
      <c r="R140" s="58" t="s">
        <v>87</v>
      </c>
      <c r="S140" s="45"/>
      <c r="T140" s="45"/>
      <c r="U140" s="59">
        <v>591008002</v>
      </c>
      <c r="V140" s="58" t="s">
        <v>352</v>
      </c>
      <c r="W140" s="60" t="s">
        <v>154</v>
      </c>
      <c r="X140" s="58" t="s">
        <v>107</v>
      </c>
      <c r="Y140" s="61">
        <f>37962+(6*364)</f>
        <v>40146</v>
      </c>
      <c r="Z140" s="44">
        <f t="shared" ca="1" si="2"/>
        <v>15</v>
      </c>
    </row>
    <row r="141" spans="1:26" x14ac:dyDescent="0.25">
      <c r="A141" s="52" t="s">
        <v>332</v>
      </c>
      <c r="B141" s="52" t="s">
        <v>74</v>
      </c>
      <c r="C141" s="53">
        <v>58347</v>
      </c>
      <c r="D141" s="54">
        <v>100497</v>
      </c>
      <c r="K141" s="54"/>
      <c r="N141" s="62">
        <v>285002290</v>
      </c>
      <c r="O141" s="56">
        <v>5054680033</v>
      </c>
      <c r="P141" s="44" t="s">
        <v>99</v>
      </c>
      <c r="Q141" s="57">
        <v>77935</v>
      </c>
      <c r="R141" s="58" t="s">
        <v>71</v>
      </c>
      <c r="S141" s="45"/>
      <c r="T141" s="45"/>
      <c r="U141" s="59">
        <v>374007797</v>
      </c>
      <c r="V141" s="58" t="s">
        <v>353</v>
      </c>
      <c r="W141" s="60" t="s">
        <v>73</v>
      </c>
      <c r="X141" s="58" t="s">
        <v>90</v>
      </c>
      <c r="Y141" s="61">
        <f>39654+(6*364)</f>
        <v>41838</v>
      </c>
      <c r="Z141" s="44">
        <f t="shared" ca="1" si="2"/>
        <v>10</v>
      </c>
    </row>
    <row r="142" spans="1:26" x14ac:dyDescent="0.25">
      <c r="A142" s="52" t="s">
        <v>350</v>
      </c>
      <c r="B142" s="52" t="s">
        <v>74</v>
      </c>
      <c r="C142" s="53">
        <v>74180</v>
      </c>
      <c r="D142" s="54">
        <v>74053</v>
      </c>
      <c r="K142" s="54"/>
      <c r="N142" s="62">
        <v>286009606</v>
      </c>
      <c r="O142" s="56">
        <v>9702602559</v>
      </c>
      <c r="P142" s="44"/>
      <c r="Q142" s="57">
        <v>35713</v>
      </c>
      <c r="R142" s="58" t="s">
        <v>87</v>
      </c>
      <c r="S142" s="45"/>
      <c r="T142" s="45"/>
      <c r="U142" s="59">
        <v>183005312</v>
      </c>
      <c r="V142" s="58" t="s">
        <v>188</v>
      </c>
      <c r="W142" s="60" t="s">
        <v>73</v>
      </c>
      <c r="X142" s="58" t="s">
        <v>94</v>
      </c>
      <c r="Y142" s="61">
        <f>37070+(6*364)</f>
        <v>39254</v>
      </c>
      <c r="Z142" s="44">
        <f t="shared" ca="1" si="2"/>
        <v>17</v>
      </c>
    </row>
    <row r="143" spans="1:26" x14ac:dyDescent="0.25">
      <c r="A143" s="52" t="s">
        <v>351</v>
      </c>
      <c r="B143" s="52" t="s">
        <v>74</v>
      </c>
      <c r="C143" s="53">
        <v>94038</v>
      </c>
      <c r="D143" s="54">
        <v>124596</v>
      </c>
      <c r="K143" s="54"/>
      <c r="N143" s="62">
        <v>288005212</v>
      </c>
      <c r="O143" s="56">
        <v>3034897618</v>
      </c>
      <c r="P143" s="44"/>
      <c r="Q143" s="57">
        <v>35224</v>
      </c>
      <c r="R143" s="58" t="s">
        <v>87</v>
      </c>
      <c r="S143" s="45"/>
      <c r="T143" s="45"/>
      <c r="U143" s="59">
        <v>431008194</v>
      </c>
      <c r="V143" s="58" t="s">
        <v>191</v>
      </c>
      <c r="W143" s="60" t="s">
        <v>84</v>
      </c>
      <c r="X143" s="58" t="s">
        <v>94</v>
      </c>
      <c r="Y143" s="61">
        <f>40647+(6*364)</f>
        <v>42831</v>
      </c>
      <c r="Z143" s="44">
        <f t="shared" ca="1" si="2"/>
        <v>7</v>
      </c>
    </row>
    <row r="144" spans="1:26" x14ac:dyDescent="0.25">
      <c r="A144" s="52" t="s">
        <v>357</v>
      </c>
      <c r="B144" s="52" t="s">
        <v>74</v>
      </c>
      <c r="C144" s="53">
        <v>14910</v>
      </c>
      <c r="D144" s="54">
        <v>71160</v>
      </c>
      <c r="K144" s="54"/>
      <c r="N144" s="62">
        <v>297000280</v>
      </c>
      <c r="O144" s="56">
        <v>5055750692</v>
      </c>
      <c r="P144" s="44" t="s">
        <v>82</v>
      </c>
      <c r="Q144" s="57">
        <v>60446</v>
      </c>
      <c r="R144" s="58" t="s">
        <v>71</v>
      </c>
      <c r="S144" s="45"/>
      <c r="T144" s="45"/>
      <c r="U144" s="59">
        <v>896001807</v>
      </c>
      <c r="V144" s="58" t="s">
        <v>354</v>
      </c>
      <c r="W144" s="60" t="s">
        <v>154</v>
      </c>
      <c r="X144" s="58" t="s">
        <v>80</v>
      </c>
      <c r="Y144" s="61">
        <f>37262+(6*364)</f>
        <v>39446</v>
      </c>
      <c r="Z144" s="44">
        <f t="shared" ca="1" si="2"/>
        <v>17</v>
      </c>
    </row>
    <row r="145" spans="1:26" x14ac:dyDescent="0.25">
      <c r="A145" s="52" t="s">
        <v>20</v>
      </c>
      <c r="B145" s="52" t="s">
        <v>74</v>
      </c>
      <c r="C145" s="53">
        <v>97691</v>
      </c>
      <c r="D145" s="54">
        <v>99885</v>
      </c>
      <c r="K145" s="54"/>
      <c r="N145" s="62">
        <v>297003762</v>
      </c>
      <c r="O145" s="56">
        <v>5057187041</v>
      </c>
      <c r="P145" s="44"/>
      <c r="Q145" s="57">
        <v>95835</v>
      </c>
      <c r="R145" s="58" t="s">
        <v>87</v>
      </c>
      <c r="S145" s="45"/>
      <c r="T145" s="45"/>
      <c r="U145" s="59">
        <v>354001908</v>
      </c>
      <c r="V145" s="58" t="s">
        <v>355</v>
      </c>
      <c r="W145" s="60" t="s">
        <v>101</v>
      </c>
      <c r="X145" s="58" t="s">
        <v>356</v>
      </c>
      <c r="Y145" s="61">
        <f>42187+(6*364)</f>
        <v>44371</v>
      </c>
      <c r="Z145" s="44">
        <f t="shared" ca="1" si="2"/>
        <v>3</v>
      </c>
    </row>
    <row r="146" spans="1:26" x14ac:dyDescent="0.25">
      <c r="A146" s="52" t="s">
        <v>359</v>
      </c>
      <c r="B146" s="52" t="s">
        <v>74</v>
      </c>
      <c r="C146" s="53">
        <v>15043</v>
      </c>
      <c r="D146" s="54">
        <v>112706</v>
      </c>
      <c r="K146" s="54"/>
      <c r="N146" s="62">
        <v>299000265</v>
      </c>
      <c r="O146" s="56">
        <v>5058561612</v>
      </c>
      <c r="P146" s="44" t="s">
        <v>76</v>
      </c>
      <c r="Q146" s="57">
        <v>124367</v>
      </c>
      <c r="R146" s="58" t="s">
        <v>71</v>
      </c>
      <c r="S146" s="45"/>
      <c r="T146" s="45"/>
      <c r="U146" s="59">
        <v>989003864</v>
      </c>
      <c r="V146" s="58" t="s">
        <v>192</v>
      </c>
      <c r="W146" s="60" t="s">
        <v>84</v>
      </c>
      <c r="X146" s="58" t="s">
        <v>90</v>
      </c>
      <c r="Y146" s="61">
        <f>36595+(6*364)</f>
        <v>38779</v>
      </c>
      <c r="Z146" s="44">
        <f t="shared" ca="1" si="2"/>
        <v>18</v>
      </c>
    </row>
    <row r="147" spans="1:26" x14ac:dyDescent="0.25">
      <c r="A147" s="52" t="s">
        <v>360</v>
      </c>
      <c r="B147" s="52" t="s">
        <v>74</v>
      </c>
      <c r="C147" s="53">
        <v>82455</v>
      </c>
      <c r="D147" s="54">
        <v>34411</v>
      </c>
      <c r="K147" s="54"/>
      <c r="N147" s="62">
        <v>300000586</v>
      </c>
      <c r="O147" s="56">
        <v>5055255121</v>
      </c>
      <c r="P147" s="44" t="s">
        <v>99</v>
      </c>
      <c r="Q147" s="57">
        <v>108460</v>
      </c>
      <c r="R147" s="58" t="s">
        <v>71</v>
      </c>
      <c r="S147" s="45"/>
      <c r="T147" s="45"/>
      <c r="U147" s="59">
        <v>677003738</v>
      </c>
      <c r="V147" s="58" t="s">
        <v>358</v>
      </c>
      <c r="W147" s="60" t="s">
        <v>79</v>
      </c>
      <c r="X147" s="58" t="s">
        <v>85</v>
      </c>
      <c r="Y147" s="61">
        <f>41022+(6*364)</f>
        <v>43206</v>
      </c>
      <c r="Z147" s="44">
        <f t="shared" ca="1" si="2"/>
        <v>6</v>
      </c>
    </row>
    <row r="148" spans="1:26" x14ac:dyDescent="0.25">
      <c r="A148" s="52" t="s">
        <v>362</v>
      </c>
      <c r="B148" s="52" t="s">
        <v>74</v>
      </c>
      <c r="C148" s="53">
        <v>76005</v>
      </c>
      <c r="D148" s="54">
        <v>72162</v>
      </c>
      <c r="K148" s="54"/>
      <c r="N148" s="62">
        <v>302006593</v>
      </c>
      <c r="O148" s="56">
        <v>5056012031</v>
      </c>
      <c r="P148" s="44"/>
      <c r="Q148" s="57">
        <v>77173</v>
      </c>
      <c r="R148" s="58" t="s">
        <v>87</v>
      </c>
      <c r="S148" s="45"/>
      <c r="T148" s="45"/>
      <c r="U148" s="59">
        <v>240003824</v>
      </c>
      <c r="V148" s="58" t="s">
        <v>357</v>
      </c>
      <c r="W148" s="60" t="s">
        <v>89</v>
      </c>
      <c r="X148" s="58" t="s">
        <v>96</v>
      </c>
      <c r="Y148" s="61">
        <f>35398+(6*364)</f>
        <v>37582</v>
      </c>
      <c r="Z148" s="44">
        <f t="shared" ca="1" si="2"/>
        <v>22</v>
      </c>
    </row>
    <row r="149" spans="1:26" x14ac:dyDescent="0.25">
      <c r="A149" s="52" t="s">
        <v>364</v>
      </c>
      <c r="B149" s="52" t="s">
        <v>74</v>
      </c>
      <c r="C149" s="53">
        <v>93986</v>
      </c>
      <c r="D149" s="54">
        <v>59197</v>
      </c>
      <c r="K149" s="54"/>
      <c r="N149" s="62">
        <v>303006952</v>
      </c>
      <c r="O149" s="56">
        <v>7195978858</v>
      </c>
      <c r="P149" s="44"/>
      <c r="Q149" s="57">
        <v>92006</v>
      </c>
      <c r="R149" s="58" t="s">
        <v>87</v>
      </c>
      <c r="S149" s="45"/>
      <c r="T149" s="45"/>
      <c r="U149" s="59">
        <v>784009698</v>
      </c>
      <c r="V149" s="58" t="s">
        <v>361</v>
      </c>
      <c r="W149" s="60" t="s">
        <v>89</v>
      </c>
      <c r="X149" s="58" t="s">
        <v>104</v>
      </c>
      <c r="Y149" s="61">
        <f>37336+(6*364)</f>
        <v>39520</v>
      </c>
      <c r="Z149" s="44">
        <f t="shared" ca="1" si="2"/>
        <v>16</v>
      </c>
    </row>
    <row r="150" spans="1:26" x14ac:dyDescent="0.25">
      <c r="A150" s="52" t="s">
        <v>366</v>
      </c>
      <c r="B150" s="52" t="s">
        <v>74</v>
      </c>
      <c r="C150" s="53">
        <v>73815</v>
      </c>
      <c r="D150" s="54">
        <v>65642</v>
      </c>
      <c r="K150" s="54"/>
      <c r="N150" s="62">
        <v>306000924</v>
      </c>
      <c r="O150" s="56">
        <v>5053717553</v>
      </c>
      <c r="P150" s="44" t="s">
        <v>92</v>
      </c>
      <c r="Q150" s="57">
        <v>123350</v>
      </c>
      <c r="R150" s="58" t="s">
        <v>71</v>
      </c>
      <c r="S150" s="45"/>
      <c r="T150" s="45"/>
      <c r="U150" s="59">
        <v>185009581</v>
      </c>
      <c r="V150" s="58" t="s">
        <v>363</v>
      </c>
      <c r="W150" s="60" t="s">
        <v>79</v>
      </c>
      <c r="X150" s="58" t="s">
        <v>80</v>
      </c>
      <c r="Y150" s="61">
        <f>41652+(6*364)</f>
        <v>43836</v>
      </c>
      <c r="Z150" s="44">
        <f t="shared" ca="1" si="2"/>
        <v>5</v>
      </c>
    </row>
    <row r="151" spans="1:26" x14ac:dyDescent="0.25">
      <c r="A151" s="52" t="s">
        <v>368</v>
      </c>
      <c r="B151" s="52" t="s">
        <v>74</v>
      </c>
      <c r="C151" s="53">
        <v>43192</v>
      </c>
      <c r="D151" s="54">
        <v>47976</v>
      </c>
      <c r="K151" s="54"/>
      <c r="N151" s="62">
        <v>306009148</v>
      </c>
      <c r="O151" s="56">
        <v>9708440900</v>
      </c>
      <c r="P151" s="44" t="s">
        <v>92</v>
      </c>
      <c r="Q151" s="57">
        <v>115431</v>
      </c>
      <c r="R151" s="58" t="s">
        <v>71</v>
      </c>
      <c r="S151" s="45"/>
      <c r="T151" s="45"/>
      <c r="U151" s="59">
        <v>517004893</v>
      </c>
      <c r="V151" s="58" t="s">
        <v>365</v>
      </c>
      <c r="W151" s="60" t="s">
        <v>73</v>
      </c>
      <c r="X151" s="58" t="s">
        <v>132</v>
      </c>
      <c r="Y151" s="61">
        <f>42177+(6*364)</f>
        <v>44361</v>
      </c>
      <c r="Z151" s="44">
        <f t="shared" ca="1" si="2"/>
        <v>3</v>
      </c>
    </row>
    <row r="152" spans="1:26" x14ac:dyDescent="0.25">
      <c r="A152" s="52" t="s">
        <v>370</v>
      </c>
      <c r="B152" s="52" t="s">
        <v>74</v>
      </c>
      <c r="C152" s="53">
        <v>54553</v>
      </c>
      <c r="D152" s="54">
        <v>78303</v>
      </c>
      <c r="K152" s="54"/>
      <c r="N152" s="62">
        <v>312001254</v>
      </c>
      <c r="O152" s="56">
        <v>5056213620</v>
      </c>
      <c r="P152" s="44"/>
      <c r="Q152" s="57">
        <v>77676</v>
      </c>
      <c r="R152" s="58" t="s">
        <v>109</v>
      </c>
      <c r="S152" s="45"/>
      <c r="T152" s="45"/>
      <c r="U152" s="59">
        <v>479004781</v>
      </c>
      <c r="V152" s="58" t="s">
        <v>367</v>
      </c>
      <c r="W152" s="60" t="s">
        <v>73</v>
      </c>
      <c r="X152" s="58" t="s">
        <v>90</v>
      </c>
      <c r="Y152" s="61">
        <f>35537+(6*364)</f>
        <v>37721</v>
      </c>
      <c r="Z152" s="44">
        <f t="shared" ca="1" si="2"/>
        <v>21</v>
      </c>
    </row>
    <row r="153" spans="1:26" x14ac:dyDescent="0.25">
      <c r="A153" s="52" t="s">
        <v>371</v>
      </c>
      <c r="B153" s="52" t="s">
        <v>74</v>
      </c>
      <c r="C153" s="53">
        <v>87338</v>
      </c>
      <c r="D153" s="54">
        <v>73333</v>
      </c>
      <c r="K153" s="54"/>
      <c r="N153" s="62">
        <v>312004311</v>
      </c>
      <c r="O153" s="56">
        <v>9707936742</v>
      </c>
      <c r="P153" s="44" t="s">
        <v>99</v>
      </c>
      <c r="Q153" s="57">
        <v>94675</v>
      </c>
      <c r="R153" s="58" t="s">
        <v>77</v>
      </c>
      <c r="S153" s="45"/>
      <c r="T153" s="45"/>
      <c r="U153" s="59">
        <v>573008439</v>
      </c>
      <c r="V153" s="58" t="s">
        <v>369</v>
      </c>
      <c r="W153" s="60" t="s">
        <v>89</v>
      </c>
      <c r="X153" s="58" t="s">
        <v>107</v>
      </c>
      <c r="Y153" s="61">
        <f>37772+(6*364)</f>
        <v>39956</v>
      </c>
      <c r="Z153" s="44">
        <f t="shared" ca="1" si="2"/>
        <v>15</v>
      </c>
    </row>
    <row r="154" spans="1:26" x14ac:dyDescent="0.25">
      <c r="A154" s="52" t="s">
        <v>372</v>
      </c>
      <c r="B154" s="52" t="s">
        <v>74</v>
      </c>
      <c r="C154" s="53">
        <v>45605</v>
      </c>
      <c r="D154" s="54">
        <v>99435</v>
      </c>
      <c r="K154" s="54"/>
      <c r="N154" s="62">
        <v>312006705</v>
      </c>
      <c r="O154" s="56">
        <v>7197491979</v>
      </c>
      <c r="P154" s="44" t="s">
        <v>70</v>
      </c>
      <c r="Q154" s="57">
        <v>127954</v>
      </c>
      <c r="R154" s="58" t="s">
        <v>71</v>
      </c>
      <c r="S154" s="45"/>
      <c r="T154" s="45"/>
      <c r="U154" s="59">
        <v>833003389</v>
      </c>
      <c r="V154" s="58" t="s">
        <v>194</v>
      </c>
      <c r="W154" s="60" t="s">
        <v>73</v>
      </c>
      <c r="X154" s="58" t="s">
        <v>85</v>
      </c>
      <c r="Y154" s="61">
        <f>38018+(6*364)</f>
        <v>40202</v>
      </c>
      <c r="Z154" s="44">
        <f t="shared" ca="1" si="2"/>
        <v>15</v>
      </c>
    </row>
    <row r="155" spans="1:26" x14ac:dyDescent="0.25">
      <c r="A155" s="52" t="s">
        <v>374</v>
      </c>
      <c r="B155" s="52" t="s">
        <v>74</v>
      </c>
      <c r="C155" s="53">
        <v>54419</v>
      </c>
      <c r="D155" s="54">
        <v>61553</v>
      </c>
      <c r="K155" s="54"/>
      <c r="N155" s="62">
        <v>313001602</v>
      </c>
      <c r="O155" s="56">
        <v>5056079829</v>
      </c>
      <c r="P155" s="44" t="s">
        <v>99</v>
      </c>
      <c r="Q155" s="57">
        <v>120511</v>
      </c>
      <c r="R155" s="58" t="s">
        <v>71</v>
      </c>
      <c r="S155" s="45"/>
      <c r="T155" s="45"/>
      <c r="U155" s="59">
        <v>212005003</v>
      </c>
      <c r="V155" s="58" t="s">
        <v>297</v>
      </c>
      <c r="W155" s="60" t="s">
        <v>79</v>
      </c>
      <c r="X155" s="58" t="s">
        <v>94</v>
      </c>
      <c r="Y155" s="61">
        <f>37465+(6*364)</f>
        <v>39649</v>
      </c>
      <c r="Z155" s="44">
        <f t="shared" ca="1" si="2"/>
        <v>16</v>
      </c>
    </row>
    <row r="156" spans="1:26" x14ac:dyDescent="0.25">
      <c r="A156" s="52" t="s">
        <v>376</v>
      </c>
      <c r="B156" s="52" t="s">
        <v>74</v>
      </c>
      <c r="C156" s="53">
        <v>76695</v>
      </c>
      <c r="D156" s="54">
        <v>89377</v>
      </c>
      <c r="K156" s="54"/>
      <c r="N156" s="62">
        <v>313003149</v>
      </c>
      <c r="O156" s="56">
        <v>3035442791</v>
      </c>
      <c r="P156" s="44"/>
      <c r="Q156" s="57">
        <v>54449</v>
      </c>
      <c r="R156" s="58" t="s">
        <v>87</v>
      </c>
      <c r="S156" s="45"/>
      <c r="T156" s="45"/>
      <c r="U156" s="59">
        <v>636003010</v>
      </c>
      <c r="V156" s="58" t="s">
        <v>373</v>
      </c>
      <c r="W156" s="60" t="s">
        <v>79</v>
      </c>
      <c r="X156" s="58" t="s">
        <v>85</v>
      </c>
      <c r="Y156" s="61">
        <f>41081+(6*364)</f>
        <v>43265</v>
      </c>
      <c r="Z156" s="44">
        <f t="shared" ca="1" si="2"/>
        <v>6</v>
      </c>
    </row>
    <row r="157" spans="1:26" x14ac:dyDescent="0.25">
      <c r="A157" s="52" t="s">
        <v>377</v>
      </c>
      <c r="B157" s="52" t="s">
        <v>74</v>
      </c>
      <c r="C157" s="53">
        <v>58998</v>
      </c>
      <c r="D157" s="54">
        <v>56489</v>
      </c>
      <c r="K157" s="54"/>
      <c r="N157" s="62">
        <v>315008929</v>
      </c>
      <c r="O157" s="56">
        <v>5058669137</v>
      </c>
      <c r="P157" s="44" t="s">
        <v>99</v>
      </c>
      <c r="Q157" s="57">
        <v>52181</v>
      </c>
      <c r="R157" s="58" t="s">
        <v>71</v>
      </c>
      <c r="S157" s="45"/>
      <c r="T157" s="45"/>
      <c r="U157" s="59">
        <v>549004673</v>
      </c>
      <c r="V157" s="58" t="s">
        <v>375</v>
      </c>
      <c r="W157" s="60" t="s">
        <v>84</v>
      </c>
      <c r="X157" s="58" t="s">
        <v>173</v>
      </c>
      <c r="Y157" s="61">
        <f>38481+(6*364)</f>
        <v>40665</v>
      </c>
      <c r="Z157" s="44">
        <f t="shared" ca="1" si="2"/>
        <v>13</v>
      </c>
    </row>
    <row r="158" spans="1:26" x14ac:dyDescent="0.25">
      <c r="A158" s="52" t="s">
        <v>378</v>
      </c>
      <c r="B158" s="52" t="s">
        <v>74</v>
      </c>
      <c r="C158" s="53">
        <v>90027</v>
      </c>
      <c r="D158" s="54">
        <v>109956</v>
      </c>
      <c r="K158" s="54"/>
      <c r="N158" s="62">
        <v>317007570</v>
      </c>
      <c r="O158" s="56">
        <v>5052869792</v>
      </c>
      <c r="P158" s="44"/>
      <c r="Q158" s="57">
        <v>88112</v>
      </c>
      <c r="R158" s="58" t="s">
        <v>87</v>
      </c>
      <c r="S158" s="45"/>
      <c r="T158" s="45"/>
      <c r="U158" s="59">
        <v>393001518</v>
      </c>
      <c r="V158" s="58" t="s">
        <v>313</v>
      </c>
      <c r="W158" s="60" t="s">
        <v>89</v>
      </c>
      <c r="X158" s="58" t="s">
        <v>107</v>
      </c>
      <c r="Y158" s="61">
        <f>35499+(6*364)</f>
        <v>37683</v>
      </c>
      <c r="Z158" s="44">
        <f t="shared" ca="1" si="2"/>
        <v>21</v>
      </c>
    </row>
    <row r="159" spans="1:26" x14ac:dyDescent="0.25">
      <c r="A159" s="52" t="s">
        <v>379</v>
      </c>
      <c r="B159" s="52" t="s">
        <v>74</v>
      </c>
      <c r="C159" s="53">
        <v>61479</v>
      </c>
      <c r="D159" s="54">
        <v>126531</v>
      </c>
      <c r="K159" s="54"/>
      <c r="N159" s="62">
        <v>318002120</v>
      </c>
      <c r="O159" s="56">
        <v>3035228252</v>
      </c>
      <c r="P159" s="44" t="s">
        <v>70</v>
      </c>
      <c r="Q159" s="57">
        <v>55312</v>
      </c>
      <c r="R159" s="58" t="s">
        <v>71</v>
      </c>
      <c r="S159" s="45"/>
      <c r="T159" s="45"/>
      <c r="U159" s="59">
        <v>776002183</v>
      </c>
      <c r="V159" s="58" t="s">
        <v>20</v>
      </c>
      <c r="W159" s="60" t="s">
        <v>154</v>
      </c>
      <c r="X159" s="58" t="s">
        <v>104</v>
      </c>
      <c r="Y159" s="61">
        <f>37057+(6*364)</f>
        <v>39241</v>
      </c>
      <c r="Z159" s="44">
        <f t="shared" ca="1" si="2"/>
        <v>17</v>
      </c>
    </row>
    <row r="160" spans="1:26" x14ac:dyDescent="0.25">
      <c r="A160" s="52" t="s">
        <v>381</v>
      </c>
      <c r="B160" s="52" t="s">
        <v>74</v>
      </c>
      <c r="C160" s="53">
        <v>35266</v>
      </c>
      <c r="D160" s="54">
        <v>64453</v>
      </c>
      <c r="K160" s="54"/>
      <c r="N160" s="55">
        <v>320002802</v>
      </c>
      <c r="O160" s="56">
        <v>3033265407</v>
      </c>
      <c r="P160" s="44" t="s">
        <v>82</v>
      </c>
      <c r="Q160" s="57">
        <v>54214</v>
      </c>
      <c r="R160" s="58" t="s">
        <v>71</v>
      </c>
      <c r="S160" s="45"/>
      <c r="T160" s="45"/>
      <c r="U160" s="59">
        <v>318002120</v>
      </c>
      <c r="V160" s="58" t="s">
        <v>95</v>
      </c>
      <c r="W160" s="60" t="s">
        <v>73</v>
      </c>
      <c r="X160" s="58" t="s">
        <v>90</v>
      </c>
      <c r="Y160" s="61">
        <f>40756+(6*364)</f>
        <v>42940</v>
      </c>
      <c r="Z160" s="44">
        <f t="shared" ca="1" si="2"/>
        <v>7</v>
      </c>
    </row>
    <row r="161" spans="1:26" x14ac:dyDescent="0.25">
      <c r="A161" s="52" t="s">
        <v>388</v>
      </c>
      <c r="B161" s="52" t="s">
        <v>74</v>
      </c>
      <c r="C161" s="53">
        <v>16481</v>
      </c>
      <c r="D161" s="54">
        <v>71442</v>
      </c>
      <c r="K161" s="54"/>
      <c r="N161" s="62">
        <v>320008845</v>
      </c>
      <c r="O161" s="56">
        <v>3036100410</v>
      </c>
      <c r="P161" s="44"/>
      <c r="Q161" s="57">
        <v>27947</v>
      </c>
      <c r="R161" s="58" t="s">
        <v>87</v>
      </c>
      <c r="S161" s="45"/>
      <c r="T161" s="45"/>
      <c r="U161" s="59">
        <v>135007923</v>
      </c>
      <c r="V161" s="58" t="s">
        <v>380</v>
      </c>
      <c r="W161" s="60" t="s">
        <v>154</v>
      </c>
      <c r="X161" s="58" t="s">
        <v>80</v>
      </c>
      <c r="Y161" s="61">
        <f>37977+(6*364)</f>
        <v>40161</v>
      </c>
      <c r="Z161" s="44">
        <f t="shared" ca="1" si="2"/>
        <v>15</v>
      </c>
    </row>
    <row r="162" spans="1:26" x14ac:dyDescent="0.25">
      <c r="A162" s="52" t="s">
        <v>390</v>
      </c>
      <c r="B162" s="52" t="s">
        <v>74</v>
      </c>
      <c r="C162" s="53">
        <v>13107</v>
      </c>
      <c r="D162" s="54">
        <v>102024</v>
      </c>
      <c r="K162" s="54"/>
      <c r="N162" s="62">
        <v>323007315</v>
      </c>
      <c r="O162" s="56">
        <v>9707451745</v>
      </c>
      <c r="P162" s="44"/>
      <c r="Q162" s="57">
        <v>54256</v>
      </c>
      <c r="R162" s="58" t="s">
        <v>87</v>
      </c>
      <c r="S162" s="45"/>
      <c r="T162" s="45"/>
      <c r="U162" s="59">
        <v>560005993</v>
      </c>
      <c r="V162" s="58" t="s">
        <v>382</v>
      </c>
      <c r="W162" s="60" t="s">
        <v>89</v>
      </c>
      <c r="X162" s="58" t="s">
        <v>90</v>
      </c>
      <c r="Y162" s="61">
        <f>38025+(6*364)</f>
        <v>40209</v>
      </c>
      <c r="Z162" s="44">
        <f t="shared" ca="1" si="2"/>
        <v>15</v>
      </c>
    </row>
    <row r="163" spans="1:26" x14ac:dyDescent="0.25">
      <c r="A163" s="52" t="s">
        <v>392</v>
      </c>
      <c r="B163" s="52" t="s">
        <v>74</v>
      </c>
      <c r="C163" s="53">
        <v>32770</v>
      </c>
      <c r="D163" s="54">
        <v>50574</v>
      </c>
      <c r="K163" s="54"/>
      <c r="N163" s="55">
        <v>324000981</v>
      </c>
      <c r="O163" s="56">
        <v>5057528456</v>
      </c>
      <c r="P163" s="44"/>
      <c r="Q163" s="57">
        <v>26125</v>
      </c>
      <c r="R163" s="58" t="s">
        <v>87</v>
      </c>
      <c r="S163" s="45"/>
      <c r="T163" s="45"/>
      <c r="U163" s="59">
        <v>650009155</v>
      </c>
      <c r="V163" s="58" t="s">
        <v>384</v>
      </c>
      <c r="W163" s="60" t="s">
        <v>79</v>
      </c>
      <c r="X163" s="58" t="s">
        <v>107</v>
      </c>
      <c r="Y163" s="61">
        <f>37084+(6*364)</f>
        <v>39268</v>
      </c>
      <c r="Z163" s="44">
        <f t="shared" ca="1" si="2"/>
        <v>17</v>
      </c>
    </row>
    <row r="164" spans="1:26" x14ac:dyDescent="0.25">
      <c r="A164" s="52" t="s">
        <v>393</v>
      </c>
      <c r="B164" s="52" t="s">
        <v>74</v>
      </c>
      <c r="C164" s="53">
        <v>13464</v>
      </c>
      <c r="D164" s="54">
        <v>64121</v>
      </c>
      <c r="K164" s="54"/>
      <c r="N164" s="62">
        <v>324001426</v>
      </c>
      <c r="O164" s="56">
        <v>5051774590</v>
      </c>
      <c r="P164" s="44" t="s">
        <v>82</v>
      </c>
      <c r="Q164" s="57">
        <v>89818</v>
      </c>
      <c r="R164" s="58" t="s">
        <v>77</v>
      </c>
      <c r="S164" s="45"/>
      <c r="T164" s="45"/>
      <c r="U164" s="59">
        <v>989006256</v>
      </c>
      <c r="V164" s="58" t="s">
        <v>386</v>
      </c>
      <c r="W164" s="60" t="s">
        <v>89</v>
      </c>
      <c r="X164" s="58" t="s">
        <v>90</v>
      </c>
      <c r="Y164" s="61">
        <f>36328+(6*364)</f>
        <v>38512</v>
      </c>
      <c r="Z164" s="44">
        <f t="shared" ca="1" si="2"/>
        <v>19</v>
      </c>
    </row>
    <row r="165" spans="1:26" x14ac:dyDescent="0.25">
      <c r="A165" s="52" t="s">
        <v>395</v>
      </c>
      <c r="B165" s="52" t="s">
        <v>74</v>
      </c>
      <c r="C165" s="53">
        <v>18551</v>
      </c>
      <c r="D165" s="54">
        <v>36022</v>
      </c>
      <c r="K165" s="54"/>
      <c r="N165" s="55">
        <v>324005969</v>
      </c>
      <c r="O165" s="56">
        <v>9704194193</v>
      </c>
      <c r="P165" s="44" t="s">
        <v>70</v>
      </c>
      <c r="Q165" s="57">
        <v>107247</v>
      </c>
      <c r="R165" s="58" t="s">
        <v>77</v>
      </c>
      <c r="S165" s="45"/>
      <c r="T165" s="45"/>
      <c r="U165" s="59">
        <v>650009762</v>
      </c>
      <c r="V165" s="58" t="s">
        <v>98</v>
      </c>
      <c r="W165" s="60" t="s">
        <v>89</v>
      </c>
      <c r="X165" s="58" t="s">
        <v>205</v>
      </c>
      <c r="Y165" s="61">
        <f>35244+(6*364)</f>
        <v>37428</v>
      </c>
      <c r="Z165" s="44">
        <f t="shared" ca="1" si="2"/>
        <v>22</v>
      </c>
    </row>
    <row r="166" spans="1:26" x14ac:dyDescent="0.25">
      <c r="A166" s="52" t="s">
        <v>397</v>
      </c>
      <c r="B166" s="52" t="s">
        <v>74</v>
      </c>
      <c r="C166" s="53">
        <v>20512</v>
      </c>
      <c r="D166" s="54">
        <v>89451</v>
      </c>
      <c r="K166" s="54"/>
      <c r="N166" s="55">
        <v>324008243</v>
      </c>
      <c r="O166" s="56">
        <v>7191588597</v>
      </c>
      <c r="P166" s="44" t="s">
        <v>76</v>
      </c>
      <c r="Q166" s="57">
        <v>118686</v>
      </c>
      <c r="R166" s="58" t="s">
        <v>71</v>
      </c>
      <c r="S166" s="45"/>
      <c r="T166" s="45"/>
      <c r="U166" s="59">
        <v>672005934</v>
      </c>
      <c r="V166" s="58" t="s">
        <v>389</v>
      </c>
      <c r="W166" s="60" t="s">
        <v>84</v>
      </c>
      <c r="X166" s="58" t="s">
        <v>159</v>
      </c>
      <c r="Y166" s="61">
        <f>38266+(6*364)</f>
        <v>40450</v>
      </c>
      <c r="Z166" s="44">
        <f t="shared" ca="1" si="2"/>
        <v>14</v>
      </c>
    </row>
    <row r="167" spans="1:26" x14ac:dyDescent="0.25">
      <c r="A167" s="52" t="s">
        <v>399</v>
      </c>
      <c r="B167" s="52" t="s">
        <v>74</v>
      </c>
      <c r="C167" s="53">
        <v>23660</v>
      </c>
      <c r="D167" s="54">
        <v>73312</v>
      </c>
      <c r="K167" s="54"/>
      <c r="N167" s="62">
        <v>325000313</v>
      </c>
      <c r="O167" s="56">
        <v>9701675237</v>
      </c>
      <c r="P167" s="44"/>
      <c r="Q167" s="57">
        <v>107872</v>
      </c>
      <c r="R167" s="58" t="s">
        <v>109</v>
      </c>
      <c r="S167" s="45"/>
      <c r="T167" s="45"/>
      <c r="U167" s="59">
        <v>645009312</v>
      </c>
      <c r="V167" s="58" t="s">
        <v>391</v>
      </c>
      <c r="W167" s="60" t="s">
        <v>73</v>
      </c>
      <c r="X167" s="58" t="s">
        <v>85</v>
      </c>
      <c r="Y167" s="61">
        <f>36799+(6*364)</f>
        <v>38983</v>
      </c>
      <c r="Z167" s="44">
        <f t="shared" ca="1" si="2"/>
        <v>18</v>
      </c>
    </row>
    <row r="168" spans="1:26" x14ac:dyDescent="0.25">
      <c r="A168" s="52" t="s">
        <v>401</v>
      </c>
      <c r="B168" s="52" t="s">
        <v>74</v>
      </c>
      <c r="C168" s="53">
        <v>24235</v>
      </c>
      <c r="D168" s="54">
        <v>73137</v>
      </c>
      <c r="K168" s="54"/>
      <c r="N168" s="62">
        <v>325006412</v>
      </c>
      <c r="O168" s="56">
        <v>5055796953</v>
      </c>
      <c r="P168" s="44" t="s">
        <v>99</v>
      </c>
      <c r="Q168" s="57">
        <v>51482</v>
      </c>
      <c r="R168" s="58" t="s">
        <v>77</v>
      </c>
      <c r="S168" s="45"/>
      <c r="T168" s="45"/>
      <c r="U168" s="59">
        <v>905007977</v>
      </c>
      <c r="V168" s="58" t="s">
        <v>284</v>
      </c>
      <c r="W168" s="60" t="s">
        <v>73</v>
      </c>
      <c r="X168" s="58" t="s">
        <v>147</v>
      </c>
      <c r="Y168" s="61">
        <f>37371+(6*364)</f>
        <v>39555</v>
      </c>
      <c r="Z168" s="44">
        <f t="shared" ca="1" si="2"/>
        <v>16</v>
      </c>
    </row>
    <row r="169" spans="1:26" x14ac:dyDescent="0.25">
      <c r="A169" s="52" t="s">
        <v>403</v>
      </c>
      <c r="B169" s="52" t="s">
        <v>74</v>
      </c>
      <c r="C169" s="53">
        <v>35665</v>
      </c>
      <c r="D169" s="54">
        <v>72906</v>
      </c>
      <c r="K169" s="54"/>
      <c r="N169" s="62">
        <v>326002634</v>
      </c>
      <c r="O169" s="56">
        <v>7198159919</v>
      </c>
      <c r="P169" s="44" t="s">
        <v>99</v>
      </c>
      <c r="Q169" s="57">
        <v>127672</v>
      </c>
      <c r="R169" s="58" t="s">
        <v>71</v>
      </c>
      <c r="S169" s="45"/>
      <c r="T169" s="45"/>
      <c r="U169" s="59">
        <v>278004750</v>
      </c>
      <c r="V169" s="58" t="s">
        <v>394</v>
      </c>
      <c r="W169" s="60" t="s">
        <v>101</v>
      </c>
      <c r="X169" s="58" t="s">
        <v>19</v>
      </c>
      <c r="Y169" s="61">
        <f>35770+(6*364)</f>
        <v>37954</v>
      </c>
      <c r="Z169" s="44">
        <f t="shared" ca="1" si="2"/>
        <v>21</v>
      </c>
    </row>
    <row r="170" spans="1:26" x14ac:dyDescent="0.25">
      <c r="A170" s="52" t="s">
        <v>405</v>
      </c>
      <c r="B170" s="52" t="s">
        <v>74</v>
      </c>
      <c r="C170" s="53">
        <v>17813</v>
      </c>
      <c r="D170" s="54">
        <v>68640</v>
      </c>
      <c r="K170" s="54"/>
      <c r="N170" s="62">
        <v>326003677</v>
      </c>
      <c r="O170" s="56">
        <v>9706920236</v>
      </c>
      <c r="P170" s="44"/>
      <c r="Q170" s="57">
        <v>114504</v>
      </c>
      <c r="R170" s="58" t="s">
        <v>109</v>
      </c>
      <c r="S170" s="45"/>
      <c r="T170" s="45"/>
      <c r="U170" s="59">
        <v>205004604</v>
      </c>
      <c r="V170" s="58" t="s">
        <v>396</v>
      </c>
      <c r="W170" s="60" t="s">
        <v>89</v>
      </c>
      <c r="X170" s="58" t="s">
        <v>173</v>
      </c>
      <c r="Y170" s="61">
        <f>38455+(6*364)</f>
        <v>40639</v>
      </c>
      <c r="Z170" s="44">
        <f t="shared" ca="1" si="2"/>
        <v>13</v>
      </c>
    </row>
    <row r="171" spans="1:26" x14ac:dyDescent="0.25">
      <c r="A171" s="52" t="s">
        <v>321</v>
      </c>
      <c r="B171" s="52" t="s">
        <v>356</v>
      </c>
      <c r="C171" s="53">
        <v>12577</v>
      </c>
      <c r="D171" s="54">
        <v>136340</v>
      </c>
      <c r="K171" s="54"/>
      <c r="N171" s="55">
        <v>326008518</v>
      </c>
      <c r="O171" s="56">
        <v>7192543210</v>
      </c>
      <c r="P171" s="44" t="s">
        <v>70</v>
      </c>
      <c r="Q171" s="57">
        <v>122035</v>
      </c>
      <c r="R171" s="58" t="s">
        <v>71</v>
      </c>
      <c r="S171" s="45"/>
      <c r="T171" s="45"/>
      <c r="U171" s="59">
        <v>581000916</v>
      </c>
      <c r="V171" s="58" t="s">
        <v>398</v>
      </c>
      <c r="W171" s="60" t="s">
        <v>89</v>
      </c>
      <c r="X171" s="58" t="s">
        <v>90</v>
      </c>
      <c r="Y171" s="61">
        <f>41620+(6*364)</f>
        <v>43804</v>
      </c>
      <c r="Z171" s="44">
        <f t="shared" ca="1" si="2"/>
        <v>5</v>
      </c>
    </row>
    <row r="172" spans="1:26" x14ac:dyDescent="0.25">
      <c r="A172" s="52" t="s">
        <v>407</v>
      </c>
      <c r="B172" s="52" t="s">
        <v>356</v>
      </c>
      <c r="C172" s="53">
        <v>53192</v>
      </c>
      <c r="D172" s="54">
        <v>64508</v>
      </c>
      <c r="K172" s="54"/>
      <c r="N172" s="62">
        <v>327004477</v>
      </c>
      <c r="O172" s="56">
        <v>7193279828</v>
      </c>
      <c r="P172" s="44" t="s">
        <v>99</v>
      </c>
      <c r="Q172" s="57">
        <v>93683</v>
      </c>
      <c r="R172" s="58" t="s">
        <v>71</v>
      </c>
      <c r="S172" s="45"/>
      <c r="T172" s="45"/>
      <c r="U172" s="59">
        <v>574004575</v>
      </c>
      <c r="V172" s="58" t="s">
        <v>400</v>
      </c>
      <c r="W172" s="60" t="s">
        <v>154</v>
      </c>
      <c r="X172" s="58" t="s">
        <v>190</v>
      </c>
      <c r="Y172" s="61">
        <f>38106+(6*364)</f>
        <v>40290</v>
      </c>
      <c r="Z172" s="44">
        <f t="shared" ca="1" si="2"/>
        <v>14</v>
      </c>
    </row>
    <row r="173" spans="1:26" x14ac:dyDescent="0.25">
      <c r="A173" s="52" t="s">
        <v>409</v>
      </c>
      <c r="B173" s="52" t="s">
        <v>356</v>
      </c>
      <c r="C173" s="53">
        <v>68782</v>
      </c>
      <c r="D173" s="54">
        <v>71203</v>
      </c>
      <c r="K173" s="54"/>
      <c r="N173" s="62">
        <v>327005545</v>
      </c>
      <c r="O173" s="56">
        <v>9704919418</v>
      </c>
      <c r="P173" s="44" t="s">
        <v>99</v>
      </c>
      <c r="Q173" s="57">
        <v>106548</v>
      </c>
      <c r="R173" s="58" t="s">
        <v>71</v>
      </c>
      <c r="S173" s="45"/>
      <c r="T173" s="45"/>
      <c r="U173" s="59">
        <v>721009904</v>
      </c>
      <c r="V173" s="58" t="s">
        <v>402</v>
      </c>
      <c r="W173" s="60" t="s">
        <v>89</v>
      </c>
      <c r="X173" s="58" t="s">
        <v>94</v>
      </c>
      <c r="Y173" s="61">
        <f>42548+(6*364)</f>
        <v>44732</v>
      </c>
      <c r="Z173" s="44">
        <f t="shared" ca="1" si="2"/>
        <v>2</v>
      </c>
    </row>
    <row r="174" spans="1:26" x14ac:dyDescent="0.25">
      <c r="A174" s="52" t="s">
        <v>410</v>
      </c>
      <c r="B174" s="52" t="s">
        <v>356</v>
      </c>
      <c r="C174" s="53">
        <v>92941</v>
      </c>
      <c r="D174" s="54">
        <v>107627</v>
      </c>
      <c r="K174" s="54"/>
      <c r="N174" s="62">
        <v>328002109</v>
      </c>
      <c r="O174" s="56">
        <v>7198244224</v>
      </c>
      <c r="P174" s="44"/>
      <c r="Q174" s="57">
        <v>86959</v>
      </c>
      <c r="R174" s="58" t="s">
        <v>109</v>
      </c>
      <c r="S174" s="45"/>
      <c r="T174" s="45"/>
      <c r="U174" s="59">
        <v>674005417</v>
      </c>
      <c r="V174" s="58" t="s">
        <v>404</v>
      </c>
      <c r="W174" s="60" t="s">
        <v>89</v>
      </c>
      <c r="X174" s="58" t="s">
        <v>173</v>
      </c>
      <c r="Y174" s="61">
        <f>37326+(6*364)</f>
        <v>39510</v>
      </c>
      <c r="Z174" s="44">
        <f t="shared" ca="1" si="2"/>
        <v>16</v>
      </c>
    </row>
    <row r="175" spans="1:26" x14ac:dyDescent="0.25">
      <c r="A175" s="52" t="s">
        <v>412</v>
      </c>
      <c r="B175" s="52" t="s">
        <v>356</v>
      </c>
      <c r="C175" s="53">
        <v>14546</v>
      </c>
      <c r="D175" s="54">
        <v>72322</v>
      </c>
      <c r="K175" s="54"/>
      <c r="N175" s="62">
        <v>329009768</v>
      </c>
      <c r="O175" s="56">
        <v>5056860208</v>
      </c>
      <c r="P175" s="44"/>
      <c r="Q175" s="57">
        <v>45612</v>
      </c>
      <c r="R175" s="58" t="s">
        <v>109</v>
      </c>
      <c r="S175" s="45"/>
      <c r="T175" s="45"/>
      <c r="U175" s="59">
        <v>256002416</v>
      </c>
      <c r="V175" s="58" t="s">
        <v>298</v>
      </c>
      <c r="W175" s="60" t="s">
        <v>89</v>
      </c>
      <c r="X175" s="58" t="s">
        <v>90</v>
      </c>
      <c r="Y175" s="61">
        <f>37080+(6*364)</f>
        <v>39264</v>
      </c>
      <c r="Z175" s="44">
        <f t="shared" ca="1" si="2"/>
        <v>17</v>
      </c>
    </row>
    <row r="176" spans="1:26" x14ac:dyDescent="0.25">
      <c r="A176" s="52" t="s">
        <v>414</v>
      </c>
      <c r="B176" s="52" t="s">
        <v>356</v>
      </c>
      <c r="C176" s="53">
        <v>54267</v>
      </c>
      <c r="D176" s="54">
        <v>67447</v>
      </c>
      <c r="K176" s="54"/>
      <c r="N176" s="62">
        <v>333009660</v>
      </c>
      <c r="O176" s="56">
        <v>9706633751</v>
      </c>
      <c r="P176" s="44"/>
      <c r="Q176" s="57">
        <v>67032</v>
      </c>
      <c r="R176" s="58" t="s">
        <v>87</v>
      </c>
      <c r="S176" s="45"/>
      <c r="T176" s="45"/>
      <c r="U176" s="59">
        <v>306000924</v>
      </c>
      <c r="V176" s="58" t="s">
        <v>406</v>
      </c>
      <c r="W176" s="60" t="s">
        <v>73</v>
      </c>
      <c r="X176" s="58" t="s">
        <v>94</v>
      </c>
      <c r="Y176" s="61">
        <f>37882+(6*364)</f>
        <v>40066</v>
      </c>
      <c r="Z176" s="44">
        <f t="shared" ca="1" si="2"/>
        <v>15</v>
      </c>
    </row>
    <row r="177" spans="1:26" x14ac:dyDescent="0.25">
      <c r="A177" s="52" t="s">
        <v>416</v>
      </c>
      <c r="B177" s="52" t="s">
        <v>356</v>
      </c>
      <c r="C177" s="53">
        <v>45397</v>
      </c>
      <c r="D177" s="54">
        <v>78342</v>
      </c>
      <c r="K177" s="54"/>
      <c r="N177" s="62">
        <v>336000416</v>
      </c>
      <c r="O177" s="56">
        <v>3031155509</v>
      </c>
      <c r="P177" s="44"/>
      <c r="Q177" s="57">
        <v>58699</v>
      </c>
      <c r="R177" s="58" t="s">
        <v>87</v>
      </c>
      <c r="S177" s="45"/>
      <c r="T177" s="45"/>
      <c r="U177" s="59">
        <v>196000987</v>
      </c>
      <c r="V177" s="58" t="s">
        <v>408</v>
      </c>
      <c r="W177" s="60" t="s">
        <v>79</v>
      </c>
      <c r="X177" s="58" t="s">
        <v>90</v>
      </c>
      <c r="Y177" s="61">
        <f>38046+(6*364)</f>
        <v>40230</v>
      </c>
      <c r="Z177" s="44">
        <f t="shared" ca="1" si="2"/>
        <v>15</v>
      </c>
    </row>
    <row r="178" spans="1:26" x14ac:dyDescent="0.25">
      <c r="A178" s="52" t="s">
        <v>418</v>
      </c>
      <c r="B178" s="52" t="s">
        <v>356</v>
      </c>
      <c r="C178" s="53">
        <v>53541</v>
      </c>
      <c r="D178" s="54">
        <v>110219</v>
      </c>
      <c r="K178" s="54"/>
      <c r="N178" s="62">
        <v>337005706</v>
      </c>
      <c r="O178" s="56">
        <v>5055085320</v>
      </c>
      <c r="P178" s="44" t="s">
        <v>82</v>
      </c>
      <c r="Q178" s="57">
        <v>109823</v>
      </c>
      <c r="R178" s="58" t="s">
        <v>71</v>
      </c>
      <c r="S178" s="45"/>
      <c r="T178" s="45"/>
      <c r="U178" s="59">
        <v>985000271</v>
      </c>
      <c r="V178" s="58" t="s">
        <v>195</v>
      </c>
      <c r="W178" s="60" t="s">
        <v>89</v>
      </c>
      <c r="X178" s="58" t="s">
        <v>96</v>
      </c>
      <c r="Y178" s="61">
        <f>39706+(6*364)</f>
        <v>41890</v>
      </c>
      <c r="Z178" s="44">
        <f t="shared" ca="1" si="2"/>
        <v>10</v>
      </c>
    </row>
    <row r="179" spans="1:26" x14ac:dyDescent="0.25">
      <c r="A179" s="52" t="s">
        <v>88</v>
      </c>
      <c r="B179" s="52" t="s">
        <v>90</v>
      </c>
      <c r="C179" s="53">
        <v>48189</v>
      </c>
      <c r="D179" s="54">
        <v>89421</v>
      </c>
      <c r="K179" s="54"/>
      <c r="N179" s="62">
        <v>337005962</v>
      </c>
      <c r="O179" s="56">
        <v>5051656242</v>
      </c>
      <c r="P179" s="44" t="s">
        <v>76</v>
      </c>
      <c r="Q179" s="57">
        <v>87245</v>
      </c>
      <c r="R179" s="58" t="s">
        <v>71</v>
      </c>
      <c r="S179" s="45"/>
      <c r="T179" s="45"/>
      <c r="U179" s="59">
        <v>372002766</v>
      </c>
      <c r="V179" s="58" t="s">
        <v>411</v>
      </c>
      <c r="W179" s="60" t="s">
        <v>89</v>
      </c>
      <c r="X179" s="58" t="s">
        <v>205</v>
      </c>
      <c r="Y179" s="61">
        <f>35364+(6*364)</f>
        <v>37548</v>
      </c>
      <c r="Z179" s="44">
        <f t="shared" ca="1" si="2"/>
        <v>22</v>
      </c>
    </row>
    <row r="180" spans="1:26" x14ac:dyDescent="0.25">
      <c r="A180" s="52" t="s">
        <v>93</v>
      </c>
      <c r="B180" s="52" t="s">
        <v>90</v>
      </c>
      <c r="C180" s="53">
        <v>27499</v>
      </c>
      <c r="D180" s="54">
        <v>83659</v>
      </c>
      <c r="K180" s="54"/>
      <c r="N180" s="62">
        <v>337008802</v>
      </c>
      <c r="O180" s="56">
        <v>5056698101</v>
      </c>
      <c r="P180" s="44" t="s">
        <v>76</v>
      </c>
      <c r="Q180" s="57">
        <v>35826</v>
      </c>
      <c r="R180" s="58" t="s">
        <v>71</v>
      </c>
      <c r="S180" s="45"/>
      <c r="T180" s="45"/>
      <c r="U180" s="59">
        <v>432009378</v>
      </c>
      <c r="V180" s="58" t="s">
        <v>413</v>
      </c>
      <c r="W180" s="60" t="s">
        <v>101</v>
      </c>
      <c r="X180" s="58" t="s">
        <v>94</v>
      </c>
      <c r="Y180" s="61">
        <f>42178+(6*364)</f>
        <v>44362</v>
      </c>
      <c r="Z180" s="44">
        <f t="shared" ca="1" si="2"/>
        <v>3</v>
      </c>
    </row>
    <row r="181" spans="1:26" x14ac:dyDescent="0.25">
      <c r="A181" s="52" t="s">
        <v>106</v>
      </c>
      <c r="B181" s="52" t="s">
        <v>90</v>
      </c>
      <c r="C181" s="53">
        <v>69043</v>
      </c>
      <c r="D181" s="54">
        <v>94486</v>
      </c>
      <c r="K181" s="54"/>
      <c r="N181" s="62">
        <v>338009393</v>
      </c>
      <c r="O181" s="56">
        <v>9703986051</v>
      </c>
      <c r="P181" s="44" t="s">
        <v>92</v>
      </c>
      <c r="Q181" s="57">
        <v>96464</v>
      </c>
      <c r="R181" s="58" t="s">
        <v>77</v>
      </c>
      <c r="S181" s="45"/>
      <c r="T181" s="45"/>
      <c r="U181" s="59">
        <v>358003356</v>
      </c>
      <c r="V181" s="58" t="s">
        <v>415</v>
      </c>
      <c r="W181" s="60" t="s">
        <v>73</v>
      </c>
      <c r="X181" s="58" t="s">
        <v>94</v>
      </c>
      <c r="Y181" s="61">
        <f>37093+(6*364)</f>
        <v>39277</v>
      </c>
      <c r="Z181" s="44">
        <f t="shared" ca="1" si="2"/>
        <v>17</v>
      </c>
    </row>
    <row r="182" spans="1:26" x14ac:dyDescent="0.25">
      <c r="A182" s="52" t="s">
        <v>116</v>
      </c>
      <c r="B182" s="52" t="s">
        <v>90</v>
      </c>
      <c r="C182" s="53">
        <v>14208</v>
      </c>
      <c r="D182" s="54">
        <v>92346</v>
      </c>
      <c r="K182" s="54"/>
      <c r="N182" s="62">
        <v>340004938</v>
      </c>
      <c r="O182" s="56">
        <v>7193709408</v>
      </c>
      <c r="P182" s="44"/>
      <c r="Q182" s="57">
        <v>71820</v>
      </c>
      <c r="R182" s="58" t="s">
        <v>87</v>
      </c>
      <c r="S182" s="45"/>
      <c r="T182" s="45"/>
      <c r="U182" s="59">
        <v>770008594</v>
      </c>
      <c r="V182" s="58" t="s">
        <v>417</v>
      </c>
      <c r="W182" s="60" t="s">
        <v>73</v>
      </c>
      <c r="X182" s="58" t="s">
        <v>160</v>
      </c>
      <c r="Y182" s="61">
        <f>41341+(6*364)</f>
        <v>43525</v>
      </c>
      <c r="Z182" s="44">
        <f t="shared" ca="1" si="2"/>
        <v>5</v>
      </c>
    </row>
    <row r="183" spans="1:26" x14ac:dyDescent="0.25">
      <c r="A183" s="52" t="s">
        <v>120</v>
      </c>
      <c r="B183" s="52" t="s">
        <v>90</v>
      </c>
      <c r="C183" s="53">
        <v>81721</v>
      </c>
      <c r="D183" s="54">
        <v>58826</v>
      </c>
      <c r="K183" s="54"/>
      <c r="N183" s="62">
        <v>342000721</v>
      </c>
      <c r="O183" s="56">
        <v>5057362525</v>
      </c>
      <c r="P183" s="44" t="s">
        <v>99</v>
      </c>
      <c r="Q183" s="57">
        <v>39293</v>
      </c>
      <c r="R183" s="58" t="s">
        <v>71</v>
      </c>
      <c r="S183" s="45"/>
      <c r="T183" s="45"/>
      <c r="U183" s="59">
        <v>719002831</v>
      </c>
      <c r="V183" s="58" t="s">
        <v>419</v>
      </c>
      <c r="W183" s="60" t="s">
        <v>89</v>
      </c>
      <c r="X183" s="58" t="s">
        <v>96</v>
      </c>
      <c r="Y183" s="61">
        <f>40066+(6*364)</f>
        <v>42250</v>
      </c>
      <c r="Z183" s="44">
        <f t="shared" ca="1" si="2"/>
        <v>9</v>
      </c>
    </row>
    <row r="184" spans="1:26" x14ac:dyDescent="0.25">
      <c r="A184" s="52" t="s">
        <v>128</v>
      </c>
      <c r="B184" s="52" t="s">
        <v>90</v>
      </c>
      <c r="C184" s="53">
        <v>66856</v>
      </c>
      <c r="D184" s="54">
        <v>50429</v>
      </c>
      <c r="K184" s="54"/>
      <c r="N184" s="62">
        <v>342004383</v>
      </c>
      <c r="O184" s="56">
        <v>7192581491</v>
      </c>
      <c r="P184" s="44"/>
      <c r="Q184" s="57">
        <v>92414</v>
      </c>
      <c r="R184" s="58" t="s">
        <v>87</v>
      </c>
      <c r="S184" s="45"/>
      <c r="T184" s="45"/>
      <c r="U184" s="59">
        <v>639008811</v>
      </c>
      <c r="V184" s="58" t="s">
        <v>420</v>
      </c>
      <c r="W184" s="60" t="s">
        <v>154</v>
      </c>
      <c r="X184" s="58" t="s">
        <v>80</v>
      </c>
      <c r="Y184" s="61">
        <f>41365+(6*364)</f>
        <v>43549</v>
      </c>
      <c r="Z184" s="44">
        <f t="shared" ca="1" si="2"/>
        <v>5</v>
      </c>
    </row>
    <row r="185" spans="1:26" x14ac:dyDescent="0.25">
      <c r="A185" s="52" t="s">
        <v>153</v>
      </c>
      <c r="B185" s="52" t="s">
        <v>90</v>
      </c>
      <c r="C185" s="53">
        <v>36389</v>
      </c>
      <c r="D185" s="54">
        <v>71924</v>
      </c>
      <c r="K185" s="54"/>
      <c r="N185" s="62">
        <v>342004662</v>
      </c>
      <c r="O185" s="56">
        <v>9707288082</v>
      </c>
      <c r="P185" s="44"/>
      <c r="Q185" s="57">
        <v>34646</v>
      </c>
      <c r="R185" s="58" t="s">
        <v>87</v>
      </c>
      <c r="S185" s="45"/>
      <c r="T185" s="45"/>
      <c r="U185" s="59">
        <v>353004577</v>
      </c>
      <c r="V185" s="58" t="s">
        <v>421</v>
      </c>
      <c r="W185" s="60" t="s">
        <v>73</v>
      </c>
      <c r="X185" s="58" t="s">
        <v>173</v>
      </c>
      <c r="Y185" s="61">
        <f>35838+(6*364)</f>
        <v>38022</v>
      </c>
      <c r="Z185" s="44">
        <f t="shared" ca="1" si="2"/>
        <v>21</v>
      </c>
    </row>
    <row r="186" spans="1:26" x14ac:dyDescent="0.25">
      <c r="A186" s="52" t="s">
        <v>161</v>
      </c>
      <c r="B186" s="52" t="s">
        <v>90</v>
      </c>
      <c r="C186" s="53">
        <v>36990</v>
      </c>
      <c r="D186" s="54">
        <v>78696</v>
      </c>
      <c r="K186" s="54"/>
      <c r="N186" s="62">
        <v>343002084</v>
      </c>
      <c r="O186" s="56">
        <v>9707660273</v>
      </c>
      <c r="P186" s="44"/>
      <c r="Q186" s="57">
        <v>126401</v>
      </c>
      <c r="R186" s="58" t="s">
        <v>109</v>
      </c>
      <c r="S186" s="45"/>
      <c r="T186" s="45"/>
      <c r="U186" s="59">
        <v>720004885</v>
      </c>
      <c r="V186" s="58" t="s">
        <v>422</v>
      </c>
      <c r="W186" s="60" t="s">
        <v>89</v>
      </c>
      <c r="X186" s="58" t="s">
        <v>90</v>
      </c>
      <c r="Y186" s="61">
        <f>35572+(6*364)</f>
        <v>37756</v>
      </c>
      <c r="Z186" s="44">
        <f t="shared" ca="1" si="2"/>
        <v>21</v>
      </c>
    </row>
    <row r="187" spans="1:26" x14ac:dyDescent="0.25">
      <c r="A187" s="52" t="s">
        <v>165</v>
      </c>
      <c r="B187" s="52" t="s">
        <v>90</v>
      </c>
      <c r="C187" s="53">
        <v>68571</v>
      </c>
      <c r="D187" s="54">
        <v>114293</v>
      </c>
      <c r="K187" s="54"/>
      <c r="N187" s="62">
        <v>345004685</v>
      </c>
      <c r="O187" s="56">
        <v>9701963194</v>
      </c>
      <c r="P187" s="44" t="s">
        <v>92</v>
      </c>
      <c r="Q187" s="57">
        <v>49144</v>
      </c>
      <c r="R187" s="58" t="s">
        <v>71</v>
      </c>
      <c r="S187" s="45"/>
      <c r="T187" s="45"/>
      <c r="U187" s="59">
        <v>882004124</v>
      </c>
      <c r="V187" s="58" t="s">
        <v>423</v>
      </c>
      <c r="W187" s="60" t="s">
        <v>89</v>
      </c>
      <c r="X187" s="58" t="s">
        <v>80</v>
      </c>
      <c r="Y187" s="61">
        <f>35117+(6*364)</f>
        <v>37301</v>
      </c>
      <c r="Z187" s="44">
        <f t="shared" ca="1" si="2"/>
        <v>23</v>
      </c>
    </row>
    <row r="188" spans="1:26" x14ac:dyDescent="0.25">
      <c r="A188" s="52" t="s">
        <v>171</v>
      </c>
      <c r="B188" s="52" t="s">
        <v>90</v>
      </c>
      <c r="C188" s="53">
        <v>43617</v>
      </c>
      <c r="D188" s="54">
        <v>72831</v>
      </c>
      <c r="K188" s="54"/>
      <c r="N188" s="62">
        <v>345007555</v>
      </c>
      <c r="O188" s="56">
        <v>9705295649</v>
      </c>
      <c r="P188" s="44" t="s">
        <v>99</v>
      </c>
      <c r="Q188" s="57">
        <v>80790</v>
      </c>
      <c r="R188" s="58" t="s">
        <v>71</v>
      </c>
      <c r="S188" s="45"/>
      <c r="T188" s="45"/>
      <c r="U188" s="59">
        <v>401009340</v>
      </c>
      <c r="V188" s="58" t="s">
        <v>424</v>
      </c>
      <c r="W188" s="60" t="s">
        <v>84</v>
      </c>
      <c r="X188" s="58" t="s">
        <v>90</v>
      </c>
      <c r="Y188" s="61">
        <f>37754+(6*364)</f>
        <v>39938</v>
      </c>
      <c r="Z188" s="44">
        <f t="shared" ca="1" si="2"/>
        <v>15</v>
      </c>
    </row>
    <row r="189" spans="1:26" x14ac:dyDescent="0.25">
      <c r="A189" s="52" t="s">
        <v>180</v>
      </c>
      <c r="B189" s="52" t="s">
        <v>90</v>
      </c>
      <c r="C189" s="53">
        <v>50719</v>
      </c>
      <c r="D189" s="54">
        <v>100380</v>
      </c>
      <c r="K189" s="54"/>
      <c r="N189" s="62">
        <v>346004747</v>
      </c>
      <c r="O189" s="56">
        <v>3938138394</v>
      </c>
      <c r="P189" s="44" t="s">
        <v>99</v>
      </c>
      <c r="Q189" s="57">
        <v>93311</v>
      </c>
      <c r="R189" s="58" t="s">
        <v>71</v>
      </c>
      <c r="S189" s="45"/>
      <c r="T189" s="45"/>
      <c r="U189" s="59">
        <v>546005579</v>
      </c>
      <c r="V189" s="58" t="s">
        <v>425</v>
      </c>
      <c r="W189" s="60" t="s">
        <v>79</v>
      </c>
      <c r="X189" s="58" t="s">
        <v>107</v>
      </c>
      <c r="Y189" s="61">
        <f>37591+(6*364)</f>
        <v>39775</v>
      </c>
      <c r="Z189" s="44">
        <f t="shared" ca="1" si="2"/>
        <v>16</v>
      </c>
    </row>
    <row r="190" spans="1:26" x14ac:dyDescent="0.25">
      <c r="A190" s="52" t="s">
        <v>189</v>
      </c>
      <c r="B190" s="52" t="s">
        <v>90</v>
      </c>
      <c r="C190" s="53">
        <v>59144</v>
      </c>
      <c r="D190" s="54">
        <v>121904</v>
      </c>
      <c r="K190" s="54"/>
      <c r="N190" s="62">
        <v>348001418</v>
      </c>
      <c r="O190" s="56">
        <v>5053922629</v>
      </c>
      <c r="P190" s="44" t="s">
        <v>99</v>
      </c>
      <c r="Q190" s="57">
        <v>98767</v>
      </c>
      <c r="R190" s="58" t="s">
        <v>71</v>
      </c>
      <c r="S190" s="45"/>
      <c r="T190" s="45"/>
      <c r="U190" s="59">
        <v>654000868</v>
      </c>
      <c r="V190" s="58" t="s">
        <v>426</v>
      </c>
      <c r="W190" s="60" t="s">
        <v>89</v>
      </c>
      <c r="X190" s="58" t="s">
        <v>74</v>
      </c>
      <c r="Y190" s="61">
        <f>42160+(6*364)</f>
        <v>44344</v>
      </c>
      <c r="Z190" s="44">
        <f t="shared" ca="1" si="2"/>
        <v>3</v>
      </c>
    </row>
    <row r="191" spans="1:26" x14ac:dyDescent="0.25">
      <c r="A191" s="52" t="s">
        <v>202</v>
      </c>
      <c r="B191" s="52" t="s">
        <v>90</v>
      </c>
      <c r="C191" s="53">
        <v>11809</v>
      </c>
      <c r="D191" s="54">
        <v>52583</v>
      </c>
      <c r="K191" s="54"/>
      <c r="N191" s="62">
        <v>348003222</v>
      </c>
      <c r="O191" s="56">
        <v>3033909820</v>
      </c>
      <c r="P191" s="44" t="s">
        <v>99</v>
      </c>
      <c r="Q191" s="57">
        <v>68127</v>
      </c>
      <c r="R191" s="58" t="s">
        <v>71</v>
      </c>
      <c r="S191" s="45"/>
      <c r="T191" s="45"/>
      <c r="U191" s="59">
        <v>663000789</v>
      </c>
      <c r="V191" s="58" t="s">
        <v>427</v>
      </c>
      <c r="W191" s="60" t="s">
        <v>154</v>
      </c>
      <c r="X191" s="58" t="s">
        <v>90</v>
      </c>
      <c r="Y191" s="61">
        <f>37991+(6*364)</f>
        <v>40175</v>
      </c>
      <c r="Z191" s="44">
        <f t="shared" ca="1" si="2"/>
        <v>15</v>
      </c>
    </row>
    <row r="192" spans="1:26" x14ac:dyDescent="0.25">
      <c r="A192" s="52" t="s">
        <v>204</v>
      </c>
      <c r="B192" s="52" t="s">
        <v>90</v>
      </c>
      <c r="C192" s="53">
        <v>26800</v>
      </c>
      <c r="D192" s="54">
        <v>73224</v>
      </c>
      <c r="K192" s="54"/>
      <c r="N192" s="62">
        <v>348005662</v>
      </c>
      <c r="O192" s="56">
        <v>5054694617</v>
      </c>
      <c r="P192" s="44"/>
      <c r="Q192" s="57">
        <v>93068</v>
      </c>
      <c r="R192" s="58" t="s">
        <v>87</v>
      </c>
      <c r="S192" s="45"/>
      <c r="T192" s="45"/>
      <c r="U192" s="59">
        <v>925003333</v>
      </c>
      <c r="V192" s="58" t="s">
        <v>428</v>
      </c>
      <c r="W192" s="60" t="s">
        <v>73</v>
      </c>
      <c r="X192" s="58" t="s">
        <v>173</v>
      </c>
      <c r="Y192" s="61">
        <f>37332+(6*364)</f>
        <v>39516</v>
      </c>
      <c r="Z192" s="44">
        <f t="shared" ca="1" si="2"/>
        <v>16</v>
      </c>
    </row>
    <row r="193" spans="1:26" x14ac:dyDescent="0.25">
      <c r="A193" s="52" t="s">
        <v>230</v>
      </c>
      <c r="B193" s="52" t="s">
        <v>90</v>
      </c>
      <c r="C193" s="53">
        <v>90889</v>
      </c>
      <c r="D193" s="54">
        <v>125921</v>
      </c>
      <c r="K193" s="54"/>
      <c r="N193" s="62">
        <v>350004566</v>
      </c>
      <c r="O193" s="56">
        <v>9705317859</v>
      </c>
      <c r="P193" s="44" t="s">
        <v>70</v>
      </c>
      <c r="Q193" s="57">
        <v>38926</v>
      </c>
      <c r="R193" s="58" t="s">
        <v>71</v>
      </c>
      <c r="S193" s="45"/>
      <c r="T193" s="45"/>
      <c r="U193" s="59">
        <v>464005175</v>
      </c>
      <c r="V193" s="58" t="s">
        <v>359</v>
      </c>
      <c r="W193" s="60" t="s">
        <v>89</v>
      </c>
      <c r="X193" s="58" t="s">
        <v>90</v>
      </c>
      <c r="Y193" s="61">
        <f>37280+(6*364)</f>
        <v>39464</v>
      </c>
      <c r="Z193" s="44">
        <f t="shared" ca="1" si="2"/>
        <v>17</v>
      </c>
    </row>
    <row r="194" spans="1:26" x14ac:dyDescent="0.25">
      <c r="A194" s="52" t="s">
        <v>235</v>
      </c>
      <c r="B194" s="52" t="s">
        <v>90</v>
      </c>
      <c r="C194" s="53">
        <v>25130</v>
      </c>
      <c r="D194" s="54">
        <v>42902</v>
      </c>
      <c r="K194" s="54"/>
      <c r="N194" s="62">
        <v>352005870</v>
      </c>
      <c r="O194" s="56">
        <v>3035717431</v>
      </c>
      <c r="P194" s="44" t="s">
        <v>99</v>
      </c>
      <c r="Q194" s="57">
        <v>49281</v>
      </c>
      <c r="R194" s="58" t="s">
        <v>71</v>
      </c>
      <c r="S194" s="45"/>
      <c r="T194" s="45"/>
      <c r="U194" s="59">
        <v>995008824</v>
      </c>
      <c r="V194" s="58" t="s">
        <v>429</v>
      </c>
      <c r="W194" s="60" t="s">
        <v>89</v>
      </c>
      <c r="X194" s="58" t="s">
        <v>107</v>
      </c>
      <c r="Y194" s="61">
        <f>42198+(6*364)</f>
        <v>44382</v>
      </c>
      <c r="Z194" s="44">
        <f t="shared" ref="Z194:Z257" ca="1" si="3">DATEDIF(Y194,TODAY(),"Y")</f>
        <v>3</v>
      </c>
    </row>
    <row r="195" spans="1:26" x14ac:dyDescent="0.25">
      <c r="A195" s="52" t="s">
        <v>243</v>
      </c>
      <c r="B195" s="52" t="s">
        <v>90</v>
      </c>
      <c r="C195" s="53">
        <v>62305</v>
      </c>
      <c r="D195" s="54">
        <v>68052</v>
      </c>
      <c r="K195" s="54"/>
      <c r="N195" s="62">
        <v>352006030</v>
      </c>
      <c r="O195" s="56">
        <v>5138449868</v>
      </c>
      <c r="P195" s="44" t="s">
        <v>99</v>
      </c>
      <c r="Q195" s="57">
        <v>128920</v>
      </c>
      <c r="R195" s="58" t="s">
        <v>71</v>
      </c>
      <c r="S195" s="45"/>
      <c r="T195" s="45"/>
      <c r="U195" s="59">
        <v>399006132</v>
      </c>
      <c r="V195" s="58" t="s">
        <v>199</v>
      </c>
      <c r="W195" s="60" t="s">
        <v>73</v>
      </c>
      <c r="X195" s="58" t="s">
        <v>90</v>
      </c>
      <c r="Y195" s="61">
        <f>40588+(6*364)</f>
        <v>42772</v>
      </c>
      <c r="Z195" s="44">
        <f t="shared" ca="1" si="3"/>
        <v>8</v>
      </c>
    </row>
    <row r="196" spans="1:26" x14ac:dyDescent="0.25">
      <c r="A196" s="52" t="s">
        <v>247</v>
      </c>
      <c r="B196" s="52" t="s">
        <v>90</v>
      </c>
      <c r="C196" s="53">
        <v>41382</v>
      </c>
      <c r="D196" s="54">
        <v>79062</v>
      </c>
      <c r="K196" s="54"/>
      <c r="N196" s="62">
        <v>353004577</v>
      </c>
      <c r="O196" s="56">
        <v>3037188067</v>
      </c>
      <c r="P196" s="44"/>
      <c r="Q196" s="57">
        <v>25842</v>
      </c>
      <c r="R196" s="58" t="s">
        <v>87</v>
      </c>
      <c r="S196" s="45"/>
      <c r="T196" s="45"/>
      <c r="U196" s="59">
        <v>855009205</v>
      </c>
      <c r="V196" s="58" t="s">
        <v>360</v>
      </c>
      <c r="W196" s="60" t="s">
        <v>89</v>
      </c>
      <c r="X196" s="58" t="s">
        <v>85</v>
      </c>
      <c r="Y196" s="61">
        <f>35243+(6*364)</f>
        <v>37427</v>
      </c>
      <c r="Z196" s="44">
        <f t="shared" ca="1" si="3"/>
        <v>22</v>
      </c>
    </row>
    <row r="197" spans="1:26" x14ac:dyDescent="0.25">
      <c r="A197" s="52" t="s">
        <v>249</v>
      </c>
      <c r="B197" s="52" t="s">
        <v>90</v>
      </c>
      <c r="C197" s="53">
        <v>47400</v>
      </c>
      <c r="D197" s="54">
        <v>55594</v>
      </c>
      <c r="K197" s="54"/>
      <c r="N197" s="62">
        <v>354001843</v>
      </c>
      <c r="O197" s="56">
        <v>5055526537</v>
      </c>
      <c r="P197" s="44" t="s">
        <v>92</v>
      </c>
      <c r="Q197" s="57">
        <v>103350</v>
      </c>
      <c r="R197" s="58" t="s">
        <v>71</v>
      </c>
      <c r="S197" s="45"/>
      <c r="T197" s="45"/>
      <c r="U197" s="59">
        <v>483008807</v>
      </c>
      <c r="V197" s="58" t="s">
        <v>362</v>
      </c>
      <c r="W197" s="60" t="s">
        <v>154</v>
      </c>
      <c r="X197" s="58" t="s">
        <v>74</v>
      </c>
      <c r="Y197" s="61">
        <f>38187+(6*364)</f>
        <v>40371</v>
      </c>
      <c r="Z197" s="44">
        <f t="shared" ca="1" si="3"/>
        <v>14</v>
      </c>
    </row>
    <row r="198" spans="1:26" x14ac:dyDescent="0.25">
      <c r="A198" s="52" t="s">
        <v>272</v>
      </c>
      <c r="B198" s="52" t="s">
        <v>90</v>
      </c>
      <c r="C198" s="53">
        <v>24257</v>
      </c>
      <c r="D198" s="54">
        <v>98749</v>
      </c>
      <c r="K198" s="54"/>
      <c r="N198" s="62">
        <v>354001908</v>
      </c>
      <c r="O198" s="56">
        <v>3036563683</v>
      </c>
      <c r="P198" s="44" t="s">
        <v>76</v>
      </c>
      <c r="Q198" s="57">
        <v>29652</v>
      </c>
      <c r="R198" s="58" t="s">
        <v>87</v>
      </c>
      <c r="S198" s="45"/>
      <c r="T198" s="45"/>
      <c r="U198" s="59">
        <v>549008940</v>
      </c>
      <c r="V198" s="58" t="s">
        <v>201</v>
      </c>
      <c r="W198" s="60" t="s">
        <v>73</v>
      </c>
      <c r="X198" s="58" t="s">
        <v>90</v>
      </c>
      <c r="Y198" s="61">
        <f>37123+(6*364)</f>
        <v>39307</v>
      </c>
      <c r="Z198" s="44">
        <f t="shared" ca="1" si="3"/>
        <v>17</v>
      </c>
    </row>
    <row r="199" spans="1:26" x14ac:dyDescent="0.25">
      <c r="A199" s="52" t="s">
        <v>276</v>
      </c>
      <c r="B199" s="52" t="s">
        <v>90</v>
      </c>
      <c r="C199" s="53">
        <v>69807</v>
      </c>
      <c r="D199" s="54">
        <v>124509</v>
      </c>
      <c r="K199" s="54"/>
      <c r="N199" s="62">
        <v>354005778</v>
      </c>
      <c r="O199" s="56">
        <v>9707405629</v>
      </c>
      <c r="P199" s="44" t="s">
        <v>99</v>
      </c>
      <c r="Q199" s="57">
        <v>65251</v>
      </c>
      <c r="R199" s="58" t="s">
        <v>71</v>
      </c>
      <c r="S199" s="45"/>
      <c r="T199" s="45"/>
      <c r="U199" s="59">
        <v>907007089</v>
      </c>
      <c r="V199" s="58" t="s">
        <v>430</v>
      </c>
      <c r="W199" s="60" t="s">
        <v>79</v>
      </c>
      <c r="X199" s="58" t="s">
        <v>94</v>
      </c>
      <c r="Y199" s="61">
        <f>41823+(6*364)</f>
        <v>44007</v>
      </c>
      <c r="Z199" s="44">
        <f t="shared" ca="1" si="3"/>
        <v>4</v>
      </c>
    </row>
    <row r="200" spans="1:26" x14ac:dyDescent="0.25">
      <c r="A200" s="52" t="s">
        <v>280</v>
      </c>
      <c r="B200" s="52" t="s">
        <v>90</v>
      </c>
      <c r="C200" s="53">
        <v>69195</v>
      </c>
      <c r="D200" s="54">
        <v>76923</v>
      </c>
      <c r="K200" s="54"/>
      <c r="N200" s="62">
        <v>355005753</v>
      </c>
      <c r="O200" s="56">
        <v>3037553017</v>
      </c>
      <c r="P200" s="44" t="s">
        <v>92</v>
      </c>
      <c r="Q200" s="57">
        <v>53047</v>
      </c>
      <c r="R200" s="58" t="s">
        <v>71</v>
      </c>
      <c r="S200" s="45"/>
      <c r="T200" s="45"/>
      <c r="U200" s="59">
        <v>259005655</v>
      </c>
      <c r="V200" s="58" t="s">
        <v>431</v>
      </c>
      <c r="W200" s="60" t="s">
        <v>79</v>
      </c>
      <c r="X200" s="58" t="s">
        <v>96</v>
      </c>
      <c r="Y200" s="61">
        <f>42050+(6*364)</f>
        <v>44234</v>
      </c>
      <c r="Z200" s="44">
        <f t="shared" ca="1" si="3"/>
        <v>4</v>
      </c>
    </row>
    <row r="201" spans="1:26" x14ac:dyDescent="0.25">
      <c r="A201" s="52" t="s">
        <v>283</v>
      </c>
      <c r="B201" s="52" t="s">
        <v>90</v>
      </c>
      <c r="C201" s="53">
        <v>49486</v>
      </c>
      <c r="D201" s="54">
        <v>34966</v>
      </c>
      <c r="K201" s="54"/>
      <c r="N201" s="62">
        <v>357003095</v>
      </c>
      <c r="O201" s="56">
        <v>3036098293</v>
      </c>
      <c r="P201" s="44"/>
      <c r="Q201" s="57">
        <v>55704</v>
      </c>
      <c r="R201" s="58" t="s">
        <v>87</v>
      </c>
      <c r="S201" s="45"/>
      <c r="T201" s="45"/>
      <c r="U201" s="59">
        <v>823006933</v>
      </c>
      <c r="V201" s="58" t="s">
        <v>432</v>
      </c>
      <c r="W201" s="60" t="s">
        <v>154</v>
      </c>
      <c r="X201" s="58" t="s">
        <v>80</v>
      </c>
      <c r="Y201" s="61">
        <f>36083+(6*364)</f>
        <v>38267</v>
      </c>
      <c r="Z201" s="44">
        <f t="shared" ca="1" si="3"/>
        <v>20</v>
      </c>
    </row>
    <row r="202" spans="1:26" x14ac:dyDescent="0.25">
      <c r="A202" s="52" t="s">
        <v>285</v>
      </c>
      <c r="B202" s="52" t="s">
        <v>90</v>
      </c>
      <c r="C202" s="53">
        <v>47050</v>
      </c>
      <c r="D202" s="54">
        <v>124044</v>
      </c>
      <c r="K202" s="54"/>
      <c r="N202" s="62">
        <v>358003356</v>
      </c>
      <c r="O202" s="56">
        <v>9701230519</v>
      </c>
      <c r="P202" s="44" t="s">
        <v>70</v>
      </c>
      <c r="Q202" s="57">
        <v>128930</v>
      </c>
      <c r="R202" s="58" t="s">
        <v>71</v>
      </c>
      <c r="S202" s="45"/>
      <c r="T202" s="45"/>
      <c r="U202" s="59">
        <v>899004709</v>
      </c>
      <c r="V202" s="58" t="s">
        <v>433</v>
      </c>
      <c r="W202" s="60" t="s">
        <v>154</v>
      </c>
      <c r="X202" s="58" t="s">
        <v>90</v>
      </c>
      <c r="Y202" s="61">
        <f>40301+(6*364)</f>
        <v>42485</v>
      </c>
      <c r="Z202" s="44">
        <f t="shared" ca="1" si="3"/>
        <v>8</v>
      </c>
    </row>
    <row r="203" spans="1:26" x14ac:dyDescent="0.25">
      <c r="A203" s="52" t="s">
        <v>289</v>
      </c>
      <c r="B203" s="52" t="s">
        <v>90</v>
      </c>
      <c r="C203" s="53">
        <v>80581</v>
      </c>
      <c r="D203" s="54">
        <v>54700</v>
      </c>
      <c r="K203" s="54"/>
      <c r="N203" s="62">
        <v>360004402</v>
      </c>
      <c r="O203" s="56">
        <v>9701999230</v>
      </c>
      <c r="P203" s="44" t="s">
        <v>92</v>
      </c>
      <c r="Q203" s="57">
        <v>88425</v>
      </c>
      <c r="R203" s="58" t="s">
        <v>87</v>
      </c>
      <c r="S203" s="45"/>
      <c r="T203" s="45"/>
      <c r="U203" s="59">
        <v>568004821</v>
      </c>
      <c r="V203" s="58" t="s">
        <v>434</v>
      </c>
      <c r="W203" s="60" t="s">
        <v>79</v>
      </c>
      <c r="X203" s="58" t="s">
        <v>85</v>
      </c>
      <c r="Y203" s="61">
        <f>38045+(6*364)</f>
        <v>40229</v>
      </c>
      <c r="Z203" s="44">
        <f t="shared" ca="1" si="3"/>
        <v>15</v>
      </c>
    </row>
    <row r="204" spans="1:26" x14ac:dyDescent="0.25">
      <c r="A204" s="52" t="s">
        <v>303</v>
      </c>
      <c r="B204" s="52" t="s">
        <v>90</v>
      </c>
      <c r="C204" s="53">
        <v>91086</v>
      </c>
      <c r="D204" s="54">
        <v>98401</v>
      </c>
      <c r="K204" s="54"/>
      <c r="N204" s="62">
        <v>362005373</v>
      </c>
      <c r="O204" s="56">
        <v>5054734960</v>
      </c>
      <c r="P204" s="44"/>
      <c r="Q204" s="57">
        <v>118490</v>
      </c>
      <c r="R204" s="58" t="s">
        <v>109</v>
      </c>
      <c r="S204" s="45"/>
      <c r="T204" s="45"/>
      <c r="U204" s="59">
        <v>589004178</v>
      </c>
      <c r="V204" s="58" t="s">
        <v>435</v>
      </c>
      <c r="W204" s="60" t="s">
        <v>73</v>
      </c>
      <c r="X204" s="58" t="s">
        <v>173</v>
      </c>
      <c r="Y204" s="61">
        <f>35193+(6*364)</f>
        <v>37377</v>
      </c>
      <c r="Z204" s="44">
        <f t="shared" ca="1" si="3"/>
        <v>22</v>
      </c>
    </row>
    <row r="205" spans="1:26" x14ac:dyDescent="0.25">
      <c r="A205" s="52" t="s">
        <v>310</v>
      </c>
      <c r="B205" s="52" t="s">
        <v>90</v>
      </c>
      <c r="C205" s="53">
        <v>58177</v>
      </c>
      <c r="D205" s="54">
        <v>104193</v>
      </c>
      <c r="K205" s="54"/>
      <c r="N205" s="62">
        <v>363002933</v>
      </c>
      <c r="O205" s="56">
        <v>7198687353</v>
      </c>
      <c r="P205" s="44"/>
      <c r="Q205" s="57">
        <v>41691</v>
      </c>
      <c r="R205" s="58" t="s">
        <v>87</v>
      </c>
      <c r="S205" s="45"/>
      <c r="T205" s="45"/>
      <c r="U205" s="59">
        <v>254006623</v>
      </c>
      <c r="V205" s="58" t="s">
        <v>436</v>
      </c>
      <c r="W205" s="60" t="s">
        <v>73</v>
      </c>
      <c r="X205" s="58" t="s">
        <v>85</v>
      </c>
      <c r="Y205" s="61">
        <f>35229+(6*364)</f>
        <v>37413</v>
      </c>
      <c r="Z205" s="44">
        <f t="shared" ca="1" si="3"/>
        <v>22</v>
      </c>
    </row>
    <row r="206" spans="1:26" x14ac:dyDescent="0.25">
      <c r="A206" s="52" t="s">
        <v>336</v>
      </c>
      <c r="B206" s="52" t="s">
        <v>90</v>
      </c>
      <c r="C206" s="53">
        <v>41994</v>
      </c>
      <c r="D206" s="54">
        <v>63285</v>
      </c>
      <c r="K206" s="54"/>
      <c r="N206" s="62">
        <v>363007260</v>
      </c>
      <c r="O206" s="56">
        <v>7198979762</v>
      </c>
      <c r="P206" s="44"/>
      <c r="Q206" s="57">
        <v>119665</v>
      </c>
      <c r="R206" s="58" t="s">
        <v>109</v>
      </c>
      <c r="S206" s="45"/>
      <c r="T206" s="45"/>
      <c r="U206" s="59">
        <v>658001541</v>
      </c>
      <c r="V206" s="58" t="s">
        <v>203</v>
      </c>
      <c r="W206" s="60" t="s">
        <v>89</v>
      </c>
      <c r="X206" s="58" t="s">
        <v>80</v>
      </c>
      <c r="Y206" s="61">
        <f>39023+(6*364)</f>
        <v>41207</v>
      </c>
      <c r="Z206" s="44">
        <f t="shared" ca="1" si="3"/>
        <v>12</v>
      </c>
    </row>
    <row r="207" spans="1:26" x14ac:dyDescent="0.25">
      <c r="A207" s="52" t="s">
        <v>340</v>
      </c>
      <c r="B207" s="52" t="s">
        <v>90</v>
      </c>
      <c r="C207" s="53">
        <v>36572</v>
      </c>
      <c r="D207" s="54">
        <v>112957</v>
      </c>
      <c r="K207" s="54"/>
      <c r="N207" s="62">
        <v>365009327</v>
      </c>
      <c r="O207" s="56">
        <v>7196565171</v>
      </c>
      <c r="P207" s="44"/>
      <c r="Q207" s="57">
        <v>90409</v>
      </c>
      <c r="R207" s="58" t="s">
        <v>87</v>
      </c>
      <c r="S207" s="45"/>
      <c r="T207" s="45"/>
      <c r="U207" s="59">
        <v>249006621</v>
      </c>
      <c r="V207" s="58" t="s">
        <v>437</v>
      </c>
      <c r="W207" s="60" t="s">
        <v>89</v>
      </c>
      <c r="X207" s="58" t="s">
        <v>173</v>
      </c>
      <c r="Y207" s="61">
        <f>38120+(6*364)</f>
        <v>40304</v>
      </c>
      <c r="Z207" s="44">
        <f t="shared" ca="1" si="3"/>
        <v>14</v>
      </c>
    </row>
    <row r="208" spans="1:26" x14ac:dyDescent="0.25">
      <c r="A208" s="52" t="s">
        <v>345</v>
      </c>
      <c r="B208" s="52" t="s">
        <v>90</v>
      </c>
      <c r="C208" s="53">
        <v>53697</v>
      </c>
      <c r="D208" s="54">
        <v>132149</v>
      </c>
      <c r="K208" s="54"/>
      <c r="N208" s="62">
        <v>368006689</v>
      </c>
      <c r="O208" s="56">
        <v>5057430732</v>
      </c>
      <c r="P208" s="44"/>
      <c r="Q208" s="57">
        <v>78222</v>
      </c>
      <c r="R208" s="58" t="s">
        <v>87</v>
      </c>
      <c r="S208" s="45"/>
      <c r="T208" s="45"/>
      <c r="U208" s="59">
        <v>414001979</v>
      </c>
      <c r="V208" s="58" t="s">
        <v>438</v>
      </c>
      <c r="W208" s="60" t="s">
        <v>89</v>
      </c>
      <c r="X208" s="58" t="s">
        <v>90</v>
      </c>
      <c r="Y208" s="61">
        <f>35917+(6*364)</f>
        <v>38101</v>
      </c>
      <c r="Z208" s="44">
        <f t="shared" ca="1" si="3"/>
        <v>20</v>
      </c>
    </row>
    <row r="209" spans="1:26" x14ac:dyDescent="0.25">
      <c r="A209" s="52" t="s">
        <v>369</v>
      </c>
      <c r="B209" s="52" t="s">
        <v>90</v>
      </c>
      <c r="C209" s="53">
        <v>54049</v>
      </c>
      <c r="D209" s="54">
        <v>54940</v>
      </c>
      <c r="K209" s="54"/>
      <c r="N209" s="62">
        <v>370005602</v>
      </c>
      <c r="O209" s="56">
        <v>9704442142</v>
      </c>
      <c r="P209" s="44" t="s">
        <v>82</v>
      </c>
      <c r="Q209" s="57">
        <v>58962</v>
      </c>
      <c r="R209" s="58" t="s">
        <v>71</v>
      </c>
      <c r="S209" s="45"/>
      <c r="T209" s="45"/>
      <c r="U209" s="59">
        <v>348005662</v>
      </c>
      <c r="V209" s="58" t="s">
        <v>206</v>
      </c>
      <c r="W209" s="60" t="s">
        <v>73</v>
      </c>
      <c r="X209" s="58" t="s">
        <v>90</v>
      </c>
      <c r="Y209" s="61">
        <f>38653+(6*364)</f>
        <v>40837</v>
      </c>
      <c r="Z209" s="44">
        <f t="shared" ca="1" si="3"/>
        <v>13</v>
      </c>
    </row>
    <row r="210" spans="1:26" x14ac:dyDescent="0.25">
      <c r="A210" s="52" t="s">
        <v>375</v>
      </c>
      <c r="B210" s="52" t="s">
        <v>90</v>
      </c>
      <c r="C210" s="53">
        <v>87969</v>
      </c>
      <c r="D210" s="54">
        <v>71041</v>
      </c>
      <c r="K210" s="54"/>
      <c r="N210" s="62">
        <v>371001313</v>
      </c>
      <c r="O210" s="56">
        <v>9706466230</v>
      </c>
      <c r="P210" s="44"/>
      <c r="Q210" s="57">
        <v>53833</v>
      </c>
      <c r="R210" s="58" t="s">
        <v>87</v>
      </c>
      <c r="S210" s="45"/>
      <c r="T210" s="45"/>
      <c r="U210" s="59">
        <v>928008786</v>
      </c>
      <c r="V210" s="58" t="s">
        <v>439</v>
      </c>
      <c r="W210" s="60" t="s">
        <v>101</v>
      </c>
      <c r="X210" s="58" t="s">
        <v>80</v>
      </c>
      <c r="Y210" s="61">
        <f>40550+(6*364)</f>
        <v>42734</v>
      </c>
      <c r="Z210" s="44">
        <f t="shared" ca="1" si="3"/>
        <v>8</v>
      </c>
    </row>
    <row r="211" spans="1:26" x14ac:dyDescent="0.25">
      <c r="A211" s="52" t="s">
        <v>380</v>
      </c>
      <c r="B211" s="52" t="s">
        <v>90</v>
      </c>
      <c r="C211" s="53">
        <v>25377</v>
      </c>
      <c r="D211" s="54">
        <v>73975</v>
      </c>
      <c r="K211" s="54"/>
      <c r="N211" s="62">
        <v>372000056</v>
      </c>
      <c r="O211" s="56">
        <v>3037312659</v>
      </c>
      <c r="P211" s="44" t="s">
        <v>99</v>
      </c>
      <c r="Q211" s="57">
        <v>63526</v>
      </c>
      <c r="R211" s="58" t="s">
        <v>71</v>
      </c>
      <c r="S211" s="45"/>
      <c r="T211" s="45"/>
      <c r="U211" s="59">
        <v>437004721</v>
      </c>
      <c r="V211" s="58" t="s">
        <v>440</v>
      </c>
      <c r="W211" s="60" t="s">
        <v>73</v>
      </c>
      <c r="X211" s="58" t="s">
        <v>107</v>
      </c>
      <c r="Y211" s="61">
        <f>38526+(6*364)</f>
        <v>40710</v>
      </c>
      <c r="Z211" s="44">
        <f t="shared" ca="1" si="3"/>
        <v>13</v>
      </c>
    </row>
    <row r="212" spans="1:26" x14ac:dyDescent="0.25">
      <c r="A212" s="52" t="s">
        <v>382</v>
      </c>
      <c r="B212" s="52" t="s">
        <v>90</v>
      </c>
      <c r="C212" s="53">
        <v>53998</v>
      </c>
      <c r="D212" s="54">
        <v>113507</v>
      </c>
      <c r="K212" s="54"/>
      <c r="N212" s="62">
        <v>372002058</v>
      </c>
      <c r="O212" s="56">
        <v>3032526124</v>
      </c>
      <c r="P212" s="44" t="s">
        <v>92</v>
      </c>
      <c r="Q212" s="57">
        <v>77265</v>
      </c>
      <c r="R212" s="58" t="s">
        <v>71</v>
      </c>
      <c r="S212" s="45"/>
      <c r="T212" s="45"/>
      <c r="U212" s="59">
        <v>635006297</v>
      </c>
      <c r="V212" s="58" t="s">
        <v>441</v>
      </c>
      <c r="W212" s="60" t="s">
        <v>89</v>
      </c>
      <c r="X212" s="58" t="s">
        <v>147</v>
      </c>
      <c r="Y212" s="61">
        <f>38008+(6*364)</f>
        <v>40192</v>
      </c>
      <c r="Z212" s="44">
        <f t="shared" ca="1" si="3"/>
        <v>15</v>
      </c>
    </row>
    <row r="213" spans="1:26" x14ac:dyDescent="0.25">
      <c r="A213" s="52" t="s">
        <v>386</v>
      </c>
      <c r="B213" s="52" t="s">
        <v>90</v>
      </c>
      <c r="C213" s="53">
        <v>61167</v>
      </c>
      <c r="D213" s="54">
        <v>64128</v>
      </c>
      <c r="K213" s="54"/>
      <c r="N213" s="62">
        <v>372002766</v>
      </c>
      <c r="O213" s="56">
        <v>7195981242</v>
      </c>
      <c r="P213" s="44" t="s">
        <v>99</v>
      </c>
      <c r="Q213" s="57">
        <v>109715</v>
      </c>
      <c r="R213" s="58" t="s">
        <v>71</v>
      </c>
      <c r="S213" s="45"/>
      <c r="T213" s="45"/>
      <c r="U213" s="59">
        <v>491005757</v>
      </c>
      <c r="V213" s="58" t="s">
        <v>442</v>
      </c>
      <c r="W213" s="60" t="s">
        <v>89</v>
      </c>
      <c r="X213" s="58" t="s">
        <v>147</v>
      </c>
      <c r="Y213" s="61">
        <f>38822+(6*364)</f>
        <v>41006</v>
      </c>
      <c r="Z213" s="44">
        <f t="shared" ca="1" si="3"/>
        <v>12</v>
      </c>
    </row>
    <row r="214" spans="1:26" x14ac:dyDescent="0.25">
      <c r="A214" s="52" t="s">
        <v>402</v>
      </c>
      <c r="B214" s="52" t="s">
        <v>90</v>
      </c>
      <c r="C214" s="53">
        <v>93433</v>
      </c>
      <c r="D214" s="54">
        <v>74499</v>
      </c>
      <c r="K214" s="54"/>
      <c r="N214" s="62">
        <v>374001808</v>
      </c>
      <c r="O214" s="56">
        <v>7191257896</v>
      </c>
      <c r="P214" s="44" t="s">
        <v>76</v>
      </c>
      <c r="Q214" s="57">
        <v>57172</v>
      </c>
      <c r="R214" s="58" t="s">
        <v>71</v>
      </c>
      <c r="S214" s="45"/>
      <c r="T214" s="45"/>
      <c r="U214" s="59">
        <v>147000486</v>
      </c>
      <c r="V214" s="58" t="s">
        <v>102</v>
      </c>
      <c r="W214" s="60" t="s">
        <v>84</v>
      </c>
      <c r="X214" s="58" t="s">
        <v>94</v>
      </c>
      <c r="Y214" s="61">
        <f>40714+(6*364)</f>
        <v>42898</v>
      </c>
      <c r="Z214" s="44">
        <f t="shared" ca="1" si="3"/>
        <v>7</v>
      </c>
    </row>
    <row r="215" spans="1:26" x14ac:dyDescent="0.25">
      <c r="A215" s="52" t="s">
        <v>411</v>
      </c>
      <c r="B215" s="52" t="s">
        <v>90</v>
      </c>
      <c r="C215" s="53">
        <v>22804</v>
      </c>
      <c r="D215" s="54">
        <v>83659</v>
      </c>
      <c r="K215" s="54"/>
      <c r="N215" s="62">
        <v>374007797</v>
      </c>
      <c r="O215" s="56">
        <v>5053302808</v>
      </c>
      <c r="P215" s="44"/>
      <c r="Q215" s="57">
        <v>72564</v>
      </c>
      <c r="R215" s="58" t="s">
        <v>109</v>
      </c>
      <c r="S215" s="45"/>
      <c r="T215" s="45"/>
      <c r="U215" s="59">
        <v>342004662</v>
      </c>
      <c r="V215" s="58" t="s">
        <v>316</v>
      </c>
      <c r="W215" s="60" t="s">
        <v>73</v>
      </c>
      <c r="X215" s="58" t="s">
        <v>74</v>
      </c>
      <c r="Y215" s="61">
        <f>36836+(6*364)</f>
        <v>39020</v>
      </c>
      <c r="Z215" s="44">
        <f t="shared" ca="1" si="3"/>
        <v>18</v>
      </c>
    </row>
    <row r="216" spans="1:26" x14ac:dyDescent="0.25">
      <c r="A216" s="52" t="s">
        <v>415</v>
      </c>
      <c r="B216" s="52" t="s">
        <v>90</v>
      </c>
      <c r="C216" s="53">
        <v>91424</v>
      </c>
      <c r="D216" s="54">
        <v>72803</v>
      </c>
      <c r="K216" s="54"/>
      <c r="N216" s="62">
        <v>375007274</v>
      </c>
      <c r="O216" s="56">
        <v>7193919445</v>
      </c>
      <c r="P216" s="44" t="s">
        <v>99</v>
      </c>
      <c r="Q216" s="57">
        <v>95700</v>
      </c>
      <c r="R216" s="58" t="s">
        <v>109</v>
      </c>
      <c r="S216" s="45"/>
      <c r="T216" s="45"/>
      <c r="U216" s="59">
        <v>959007481</v>
      </c>
      <c r="V216" s="58" t="s">
        <v>409</v>
      </c>
      <c r="W216" s="60" t="s">
        <v>84</v>
      </c>
      <c r="X216" s="58" t="s">
        <v>94</v>
      </c>
      <c r="Y216" s="61">
        <f>41141+(6*364)</f>
        <v>43325</v>
      </c>
      <c r="Z216" s="44">
        <f t="shared" ca="1" si="3"/>
        <v>6</v>
      </c>
    </row>
    <row r="217" spans="1:26" x14ac:dyDescent="0.25">
      <c r="A217" s="52" t="s">
        <v>420</v>
      </c>
      <c r="B217" s="52" t="s">
        <v>90</v>
      </c>
      <c r="C217" s="53">
        <v>34034</v>
      </c>
      <c r="D217" s="54">
        <v>63344</v>
      </c>
      <c r="K217" s="54"/>
      <c r="N217" s="62">
        <v>378009447</v>
      </c>
      <c r="O217" s="56">
        <v>5053355100</v>
      </c>
      <c r="P217" s="44"/>
      <c r="Q217" s="57">
        <v>72730</v>
      </c>
      <c r="R217" s="58" t="s">
        <v>87</v>
      </c>
      <c r="S217" s="45"/>
      <c r="T217" s="45"/>
      <c r="U217" s="59">
        <v>761008700</v>
      </c>
      <c r="V217" s="58" t="s">
        <v>208</v>
      </c>
      <c r="W217" s="60" t="s">
        <v>154</v>
      </c>
      <c r="X217" s="58" t="s">
        <v>96</v>
      </c>
      <c r="Y217" s="61">
        <f>37666+(6*364)</f>
        <v>39850</v>
      </c>
      <c r="Z217" s="44">
        <f t="shared" ca="1" si="3"/>
        <v>16</v>
      </c>
    </row>
    <row r="218" spans="1:26" x14ac:dyDescent="0.25">
      <c r="A218" s="52" t="s">
        <v>445</v>
      </c>
      <c r="B218" s="52" t="s">
        <v>90</v>
      </c>
      <c r="C218" s="53">
        <v>67840</v>
      </c>
      <c r="D218" s="54">
        <v>92943</v>
      </c>
      <c r="K218" s="54"/>
      <c r="N218" s="62">
        <v>379004514</v>
      </c>
      <c r="O218" s="56">
        <v>7196705508</v>
      </c>
      <c r="P218" s="44"/>
      <c r="Q218" s="57">
        <v>46231</v>
      </c>
      <c r="R218" s="58" t="s">
        <v>87</v>
      </c>
      <c r="S218" s="45"/>
      <c r="T218" s="45"/>
      <c r="U218" s="59">
        <v>681001880</v>
      </c>
      <c r="V218" s="58" t="s">
        <v>364</v>
      </c>
      <c r="W218" s="60" t="s">
        <v>73</v>
      </c>
      <c r="X218" s="58" t="s">
        <v>107</v>
      </c>
      <c r="Y218" s="61">
        <f>42520+(6*364)</f>
        <v>44704</v>
      </c>
      <c r="Z218" s="44">
        <f t="shared" ca="1" si="3"/>
        <v>2</v>
      </c>
    </row>
    <row r="219" spans="1:26" x14ac:dyDescent="0.25">
      <c r="A219" s="52" t="s">
        <v>429</v>
      </c>
      <c r="B219" s="52" t="s">
        <v>90</v>
      </c>
      <c r="C219" s="53">
        <v>70654</v>
      </c>
      <c r="D219" s="54">
        <v>102680</v>
      </c>
      <c r="K219" s="54"/>
      <c r="N219" s="62">
        <v>382004268</v>
      </c>
      <c r="O219" s="56">
        <v>9701664940</v>
      </c>
      <c r="P219" s="44" t="s">
        <v>82</v>
      </c>
      <c r="Q219" s="57">
        <v>85107</v>
      </c>
      <c r="R219" s="58" t="s">
        <v>71</v>
      </c>
      <c r="S219" s="45"/>
      <c r="T219" s="45"/>
      <c r="U219" s="59">
        <v>512001859</v>
      </c>
      <c r="V219" s="58" t="s">
        <v>410</v>
      </c>
      <c r="W219" s="60" t="s">
        <v>73</v>
      </c>
      <c r="X219" s="58" t="s">
        <v>107</v>
      </c>
      <c r="Y219" s="61">
        <f>36472+(6*364)</f>
        <v>38656</v>
      </c>
      <c r="Z219" s="44">
        <f t="shared" ca="1" si="3"/>
        <v>19</v>
      </c>
    </row>
    <row r="220" spans="1:26" x14ac:dyDescent="0.25">
      <c r="A220" s="52" t="s">
        <v>431</v>
      </c>
      <c r="B220" s="52" t="s">
        <v>90</v>
      </c>
      <c r="C220" s="53">
        <v>69385</v>
      </c>
      <c r="D220" s="54">
        <v>67956</v>
      </c>
      <c r="K220" s="54"/>
      <c r="N220" s="62">
        <v>383000538</v>
      </c>
      <c r="O220" s="56">
        <v>7191264013</v>
      </c>
      <c r="P220" s="44" t="s">
        <v>76</v>
      </c>
      <c r="Q220" s="57">
        <v>56100</v>
      </c>
      <c r="R220" s="58" t="s">
        <v>71</v>
      </c>
      <c r="S220" s="45"/>
      <c r="T220" s="45"/>
      <c r="U220" s="59">
        <v>138003702</v>
      </c>
      <c r="V220" s="58" t="s">
        <v>443</v>
      </c>
      <c r="W220" s="60" t="s">
        <v>79</v>
      </c>
      <c r="X220" s="58" t="s">
        <v>104</v>
      </c>
      <c r="Y220" s="61">
        <f>37263+(6*364)</f>
        <v>39447</v>
      </c>
      <c r="Z220" s="44">
        <f t="shared" ca="1" si="3"/>
        <v>17</v>
      </c>
    </row>
    <row r="221" spans="1:26" x14ac:dyDescent="0.25">
      <c r="A221" s="52" t="s">
        <v>432</v>
      </c>
      <c r="B221" s="52" t="s">
        <v>90</v>
      </c>
      <c r="C221" s="53">
        <v>13622</v>
      </c>
      <c r="D221" s="54">
        <v>50710</v>
      </c>
      <c r="K221" s="54"/>
      <c r="N221" s="62">
        <v>386002452</v>
      </c>
      <c r="O221" s="56">
        <v>5055512521</v>
      </c>
      <c r="P221" s="44"/>
      <c r="Q221" s="57">
        <v>121624</v>
      </c>
      <c r="R221" s="58" t="s">
        <v>109</v>
      </c>
      <c r="S221" s="45"/>
      <c r="T221" s="45"/>
      <c r="U221" s="59">
        <v>123004561</v>
      </c>
      <c r="V221" s="58" t="s">
        <v>286</v>
      </c>
      <c r="W221" s="60" t="s">
        <v>84</v>
      </c>
      <c r="X221" s="58" t="s">
        <v>80</v>
      </c>
      <c r="Y221" s="61">
        <f>42258+(6*364)</f>
        <v>44442</v>
      </c>
      <c r="Z221" s="44">
        <f t="shared" ca="1" si="3"/>
        <v>3</v>
      </c>
    </row>
    <row r="222" spans="1:26" x14ac:dyDescent="0.25">
      <c r="A222" s="52" t="s">
        <v>433</v>
      </c>
      <c r="B222" s="52" t="s">
        <v>90</v>
      </c>
      <c r="C222" s="53">
        <v>73363</v>
      </c>
      <c r="D222" s="54">
        <v>113062</v>
      </c>
      <c r="K222" s="54"/>
      <c r="N222" s="62">
        <v>387005277</v>
      </c>
      <c r="O222" s="56">
        <v>5055402828</v>
      </c>
      <c r="P222" s="44"/>
      <c r="Q222" s="57">
        <v>76911</v>
      </c>
      <c r="R222" s="58" t="s">
        <v>109</v>
      </c>
      <c r="S222" s="45"/>
      <c r="T222" s="45"/>
      <c r="U222" s="59">
        <v>462007368</v>
      </c>
      <c r="V222" s="58" t="s">
        <v>444</v>
      </c>
      <c r="W222" s="60" t="s">
        <v>89</v>
      </c>
      <c r="X222" s="58" t="s">
        <v>80</v>
      </c>
      <c r="Y222" s="61">
        <f>42561+(6*364)</f>
        <v>44745</v>
      </c>
      <c r="Z222" s="44">
        <f t="shared" ca="1" si="3"/>
        <v>2</v>
      </c>
    </row>
    <row r="223" spans="1:26" x14ac:dyDescent="0.25">
      <c r="A223" s="52" t="s">
        <v>436</v>
      </c>
      <c r="B223" s="52" t="s">
        <v>90</v>
      </c>
      <c r="C223" s="53">
        <v>56891</v>
      </c>
      <c r="D223" s="54">
        <v>122646</v>
      </c>
      <c r="K223" s="54"/>
      <c r="N223" s="62">
        <v>391003704</v>
      </c>
      <c r="O223" s="56">
        <v>7194944596</v>
      </c>
      <c r="P223" s="44" t="s">
        <v>76</v>
      </c>
      <c r="Q223" s="57">
        <v>112084</v>
      </c>
      <c r="R223" s="58" t="s">
        <v>71</v>
      </c>
      <c r="S223" s="45"/>
      <c r="T223" s="45"/>
      <c r="U223" s="59">
        <v>556003833</v>
      </c>
      <c r="V223" s="58" t="s">
        <v>446</v>
      </c>
      <c r="W223" s="60" t="s">
        <v>79</v>
      </c>
      <c r="X223" s="58" t="s">
        <v>343</v>
      </c>
      <c r="Y223" s="61">
        <f>38493+(6*364)</f>
        <v>40677</v>
      </c>
      <c r="Z223" s="44">
        <f t="shared" ca="1" si="3"/>
        <v>13</v>
      </c>
    </row>
    <row r="224" spans="1:26" x14ac:dyDescent="0.25">
      <c r="A224" s="52" t="s">
        <v>437</v>
      </c>
      <c r="B224" s="52" t="s">
        <v>90</v>
      </c>
      <c r="C224" s="53">
        <v>23806</v>
      </c>
      <c r="D224" s="54">
        <v>72361</v>
      </c>
      <c r="K224" s="54"/>
      <c r="N224" s="62">
        <v>391009178</v>
      </c>
      <c r="O224" s="56">
        <v>9701277028</v>
      </c>
      <c r="P224" s="44" t="s">
        <v>92</v>
      </c>
      <c r="Q224" s="57">
        <v>44459</v>
      </c>
      <c r="R224" s="58" t="s">
        <v>71</v>
      </c>
      <c r="S224" s="45"/>
      <c r="T224" s="45"/>
      <c r="U224" s="59">
        <v>549007376</v>
      </c>
      <c r="V224" s="58" t="s">
        <v>447</v>
      </c>
      <c r="W224" s="60" t="s">
        <v>79</v>
      </c>
      <c r="X224" s="58" t="s">
        <v>343</v>
      </c>
      <c r="Y224" s="61">
        <f>42324+(6*364)</f>
        <v>44508</v>
      </c>
      <c r="Z224" s="44">
        <f t="shared" ca="1" si="3"/>
        <v>3</v>
      </c>
    </row>
    <row r="225" spans="1:26" x14ac:dyDescent="0.25">
      <c r="A225" s="52" t="s">
        <v>440</v>
      </c>
      <c r="B225" s="52" t="s">
        <v>90</v>
      </c>
      <c r="C225" s="53">
        <v>45578</v>
      </c>
      <c r="D225" s="54">
        <v>71987</v>
      </c>
      <c r="K225" s="54"/>
      <c r="N225" s="62">
        <v>392003325</v>
      </c>
      <c r="O225" s="56">
        <v>3034679864</v>
      </c>
      <c r="P225" s="44" t="s">
        <v>92</v>
      </c>
      <c r="Q225" s="57">
        <v>100084</v>
      </c>
      <c r="R225" s="58" t="s">
        <v>71</v>
      </c>
      <c r="S225" s="45"/>
      <c r="T225" s="45"/>
      <c r="U225" s="59">
        <v>617001085</v>
      </c>
      <c r="V225" s="58" t="s">
        <v>448</v>
      </c>
      <c r="W225" s="60" t="s">
        <v>89</v>
      </c>
      <c r="X225" s="58" t="s">
        <v>173</v>
      </c>
      <c r="Y225" s="61">
        <f>37936+(6*364)</f>
        <v>40120</v>
      </c>
      <c r="Z225" s="44">
        <f t="shared" ca="1" si="3"/>
        <v>15</v>
      </c>
    </row>
    <row r="226" spans="1:26" x14ac:dyDescent="0.25">
      <c r="A226" s="52" t="s">
        <v>441</v>
      </c>
      <c r="B226" s="52" t="s">
        <v>90</v>
      </c>
      <c r="C226" s="53">
        <v>37845</v>
      </c>
      <c r="D226" s="54">
        <v>94341</v>
      </c>
      <c r="K226" s="54"/>
      <c r="N226" s="62">
        <v>393001518</v>
      </c>
      <c r="O226" s="56">
        <v>5056576057</v>
      </c>
      <c r="P226" s="44" t="s">
        <v>82</v>
      </c>
      <c r="Q226" s="57">
        <v>118872</v>
      </c>
      <c r="R226" s="58" t="s">
        <v>71</v>
      </c>
      <c r="S226" s="45"/>
      <c r="T226" s="45"/>
      <c r="U226" s="59">
        <v>398001390</v>
      </c>
      <c r="V226" s="58" t="s">
        <v>449</v>
      </c>
      <c r="W226" s="60" t="s">
        <v>73</v>
      </c>
      <c r="X226" s="58" t="s">
        <v>104</v>
      </c>
      <c r="Y226" s="61">
        <f>37303+(6*364)</f>
        <v>39487</v>
      </c>
      <c r="Z226" s="44">
        <f t="shared" ca="1" si="3"/>
        <v>17</v>
      </c>
    </row>
    <row r="227" spans="1:26" x14ac:dyDescent="0.25">
      <c r="A227" s="52" t="s">
        <v>443</v>
      </c>
      <c r="B227" s="52" t="s">
        <v>90</v>
      </c>
      <c r="C227" s="53">
        <v>52072</v>
      </c>
      <c r="D227" s="54">
        <v>95607</v>
      </c>
      <c r="K227" s="54"/>
      <c r="N227" s="62">
        <v>394006818</v>
      </c>
      <c r="O227" s="56">
        <v>5052952173</v>
      </c>
      <c r="P227" s="44" t="s">
        <v>99</v>
      </c>
      <c r="Q227" s="57">
        <v>98811</v>
      </c>
      <c r="R227" s="58" t="s">
        <v>71</v>
      </c>
      <c r="S227" s="45"/>
      <c r="T227" s="45"/>
      <c r="U227" s="59">
        <v>679009564</v>
      </c>
      <c r="V227" s="58" t="s">
        <v>450</v>
      </c>
      <c r="W227" s="60" t="s">
        <v>73</v>
      </c>
      <c r="X227" s="58" t="s">
        <v>104</v>
      </c>
      <c r="Y227" s="61">
        <f>35852+(6*364)</f>
        <v>38036</v>
      </c>
      <c r="Z227" s="44">
        <f t="shared" ca="1" si="3"/>
        <v>21</v>
      </c>
    </row>
    <row r="228" spans="1:26" x14ac:dyDescent="0.25">
      <c r="A228" s="52" t="s">
        <v>446</v>
      </c>
      <c r="B228" s="52" t="s">
        <v>90</v>
      </c>
      <c r="C228" s="53">
        <v>71787</v>
      </c>
      <c r="D228" s="54">
        <v>94079</v>
      </c>
      <c r="K228" s="54"/>
      <c r="N228" s="62">
        <v>395006059</v>
      </c>
      <c r="O228" s="56">
        <v>5057838614</v>
      </c>
      <c r="P228" s="44"/>
      <c r="Q228" s="57">
        <v>57434</v>
      </c>
      <c r="R228" s="58" t="s">
        <v>87</v>
      </c>
      <c r="S228" s="45"/>
      <c r="T228" s="45"/>
      <c r="U228" s="59">
        <v>628002057</v>
      </c>
      <c r="V228" s="58" t="s">
        <v>451</v>
      </c>
      <c r="W228" s="60" t="s">
        <v>154</v>
      </c>
      <c r="X228" s="58" t="s">
        <v>173</v>
      </c>
      <c r="Y228" s="61">
        <f>40277+(6*364)</f>
        <v>42461</v>
      </c>
      <c r="Z228" s="44">
        <f t="shared" ca="1" si="3"/>
        <v>8</v>
      </c>
    </row>
    <row r="229" spans="1:26" x14ac:dyDescent="0.25">
      <c r="A229" s="52" t="s">
        <v>449</v>
      </c>
      <c r="B229" s="52" t="s">
        <v>90</v>
      </c>
      <c r="C229" s="53">
        <v>35766</v>
      </c>
      <c r="D229" s="54">
        <v>103291</v>
      </c>
      <c r="K229" s="54"/>
      <c r="N229" s="62">
        <v>396000019</v>
      </c>
      <c r="O229" s="56">
        <v>7194125146</v>
      </c>
      <c r="P229" s="44" t="s">
        <v>82</v>
      </c>
      <c r="Q229" s="57">
        <v>92137</v>
      </c>
      <c r="R229" s="58" t="s">
        <v>71</v>
      </c>
      <c r="S229" s="45"/>
      <c r="T229" s="45"/>
      <c r="U229" s="59">
        <v>126007461</v>
      </c>
      <c r="V229" s="58" t="s">
        <v>452</v>
      </c>
      <c r="W229" s="60" t="s">
        <v>79</v>
      </c>
      <c r="X229" s="58" t="s">
        <v>90</v>
      </c>
      <c r="Y229" s="61">
        <f>41011+(6*364)</f>
        <v>43195</v>
      </c>
      <c r="Z229" s="44">
        <f t="shared" ca="1" si="3"/>
        <v>6</v>
      </c>
    </row>
    <row r="230" spans="1:26" x14ac:dyDescent="0.25">
      <c r="A230" s="52" t="s">
        <v>457</v>
      </c>
      <c r="B230" s="52" t="s">
        <v>90</v>
      </c>
      <c r="C230" s="53">
        <v>88297</v>
      </c>
      <c r="D230" s="54">
        <v>108514</v>
      </c>
      <c r="K230" s="54"/>
      <c r="N230" s="62">
        <v>396006973</v>
      </c>
      <c r="O230" s="56">
        <v>5058359862</v>
      </c>
      <c r="P230" s="44" t="s">
        <v>99</v>
      </c>
      <c r="Q230" s="57">
        <v>36653</v>
      </c>
      <c r="R230" s="58" t="s">
        <v>71</v>
      </c>
      <c r="S230" s="45"/>
      <c r="T230" s="45"/>
      <c r="U230" s="59">
        <v>538004651</v>
      </c>
      <c r="V230" s="58" t="s">
        <v>453</v>
      </c>
      <c r="W230" s="60" t="s">
        <v>101</v>
      </c>
      <c r="X230" s="58" t="s">
        <v>90</v>
      </c>
      <c r="Y230" s="61">
        <f>37515+(6*364)</f>
        <v>39699</v>
      </c>
      <c r="Z230" s="44">
        <f t="shared" ca="1" si="3"/>
        <v>16</v>
      </c>
    </row>
    <row r="231" spans="1:26" x14ac:dyDescent="0.25">
      <c r="A231" s="52" t="s">
        <v>458</v>
      </c>
      <c r="B231" s="52" t="s">
        <v>90</v>
      </c>
      <c r="C231" s="53">
        <v>46694</v>
      </c>
      <c r="D231" s="54">
        <v>120958</v>
      </c>
      <c r="K231" s="54"/>
      <c r="N231" s="62">
        <v>396007092</v>
      </c>
      <c r="O231" s="56">
        <v>5056427045</v>
      </c>
      <c r="P231" s="44" t="s">
        <v>70</v>
      </c>
      <c r="Q231" s="57">
        <v>116997</v>
      </c>
      <c r="R231" s="58" t="s">
        <v>71</v>
      </c>
      <c r="S231" s="45"/>
      <c r="T231" s="45"/>
      <c r="U231" s="59">
        <v>352006030</v>
      </c>
      <c r="V231" s="58" t="s">
        <v>454</v>
      </c>
      <c r="W231" s="60" t="s">
        <v>73</v>
      </c>
      <c r="X231" s="58" t="s">
        <v>96</v>
      </c>
      <c r="Y231" s="61">
        <f>37388+(6*364)</f>
        <v>39572</v>
      </c>
      <c r="Z231" s="44">
        <f t="shared" ca="1" si="3"/>
        <v>16</v>
      </c>
    </row>
    <row r="232" spans="1:26" x14ac:dyDescent="0.25">
      <c r="A232" s="52" t="s">
        <v>460</v>
      </c>
      <c r="B232" s="52" t="s">
        <v>90</v>
      </c>
      <c r="C232" s="53">
        <v>59078</v>
      </c>
      <c r="D232" s="54">
        <v>77685</v>
      </c>
      <c r="K232" s="54"/>
      <c r="N232" s="62">
        <v>397003760</v>
      </c>
      <c r="O232" s="56">
        <v>7195617115</v>
      </c>
      <c r="P232" s="44" t="s">
        <v>92</v>
      </c>
      <c r="Q232" s="57">
        <v>86602</v>
      </c>
      <c r="R232" s="58" t="s">
        <v>71</v>
      </c>
      <c r="S232" s="45"/>
      <c r="T232" s="45"/>
      <c r="U232" s="59">
        <v>496002387</v>
      </c>
      <c r="V232" s="58" t="s">
        <v>455</v>
      </c>
      <c r="W232" s="60" t="s">
        <v>84</v>
      </c>
      <c r="X232" s="58" t="s">
        <v>173</v>
      </c>
      <c r="Y232" s="61">
        <f>38438+(6*364)</f>
        <v>40622</v>
      </c>
      <c r="Z232" s="44">
        <f t="shared" ca="1" si="3"/>
        <v>13</v>
      </c>
    </row>
    <row r="233" spans="1:26" x14ac:dyDescent="0.25">
      <c r="A233" s="52" t="s">
        <v>462</v>
      </c>
      <c r="B233" s="52" t="s">
        <v>90</v>
      </c>
      <c r="C233" s="53">
        <v>56142</v>
      </c>
      <c r="D233" s="54">
        <v>65346</v>
      </c>
      <c r="K233" s="54"/>
      <c r="N233" s="62">
        <v>398000380</v>
      </c>
      <c r="O233" s="56">
        <v>7194402150</v>
      </c>
      <c r="P233" s="44"/>
      <c r="Q233" s="57">
        <v>28795</v>
      </c>
      <c r="R233" s="58" t="s">
        <v>87</v>
      </c>
      <c r="S233" s="45"/>
      <c r="T233" s="45"/>
      <c r="U233" s="59">
        <v>580008729</v>
      </c>
      <c r="V233" s="58" t="s">
        <v>456</v>
      </c>
      <c r="W233" s="60" t="s">
        <v>89</v>
      </c>
      <c r="X233" s="58" t="s">
        <v>94</v>
      </c>
      <c r="Y233" s="61">
        <f>35985+(6*364)</f>
        <v>38169</v>
      </c>
      <c r="Z233" s="44">
        <f t="shared" ca="1" si="3"/>
        <v>20</v>
      </c>
    </row>
    <row r="234" spans="1:26" x14ac:dyDescent="0.25">
      <c r="A234" s="52" t="s">
        <v>463</v>
      </c>
      <c r="B234" s="52" t="s">
        <v>90</v>
      </c>
      <c r="C234" s="53">
        <v>89809</v>
      </c>
      <c r="D234" s="54">
        <v>79062</v>
      </c>
      <c r="K234" s="54"/>
      <c r="N234" s="62">
        <v>398001390</v>
      </c>
      <c r="O234" s="56">
        <v>9701919147</v>
      </c>
      <c r="P234" s="44" t="s">
        <v>70</v>
      </c>
      <c r="Q234" s="57">
        <v>72206</v>
      </c>
      <c r="R234" s="58" t="s">
        <v>71</v>
      </c>
      <c r="S234" s="45"/>
      <c r="T234" s="45"/>
      <c r="U234" s="59">
        <v>763003865</v>
      </c>
      <c r="V234" s="58" t="s">
        <v>457</v>
      </c>
      <c r="W234" s="60" t="s">
        <v>84</v>
      </c>
      <c r="X234" s="58" t="s">
        <v>19</v>
      </c>
      <c r="Y234" s="61">
        <f>41371+(6*364)</f>
        <v>43555</v>
      </c>
      <c r="Z234" s="44">
        <f t="shared" ca="1" si="3"/>
        <v>5</v>
      </c>
    </row>
    <row r="235" spans="1:26" x14ac:dyDescent="0.25">
      <c r="A235" s="52" t="s">
        <v>464</v>
      </c>
      <c r="B235" s="52" t="s">
        <v>90</v>
      </c>
      <c r="C235" s="53">
        <v>51521</v>
      </c>
      <c r="D235" s="54">
        <v>118542</v>
      </c>
      <c r="K235" s="54"/>
      <c r="N235" s="62">
        <v>399006132</v>
      </c>
      <c r="O235" s="56">
        <v>7193431009</v>
      </c>
      <c r="P235" s="44" t="s">
        <v>99</v>
      </c>
      <c r="Q235" s="57">
        <v>52117</v>
      </c>
      <c r="R235" s="58" t="s">
        <v>71</v>
      </c>
      <c r="S235" s="45"/>
      <c r="T235" s="45"/>
      <c r="U235" s="59">
        <v>320002802</v>
      </c>
      <c r="V235" s="58" t="s">
        <v>210</v>
      </c>
      <c r="W235" s="60" t="s">
        <v>73</v>
      </c>
      <c r="X235" s="58" t="s">
        <v>173</v>
      </c>
      <c r="Y235" s="61">
        <f>36724+(6*364)</f>
        <v>38908</v>
      </c>
      <c r="Z235" s="44">
        <f t="shared" ca="1" si="3"/>
        <v>18</v>
      </c>
    </row>
    <row r="236" spans="1:26" x14ac:dyDescent="0.25">
      <c r="A236" s="52" t="s">
        <v>466</v>
      </c>
      <c r="B236" s="52" t="s">
        <v>90</v>
      </c>
      <c r="C236" s="53">
        <v>17548</v>
      </c>
      <c r="D236" s="54">
        <v>137214</v>
      </c>
      <c r="K236" s="54"/>
      <c r="N236" s="62">
        <v>400003641</v>
      </c>
      <c r="O236" s="56">
        <v>3033014821</v>
      </c>
      <c r="P236" s="44" t="s">
        <v>92</v>
      </c>
      <c r="Q236" s="57">
        <v>69116</v>
      </c>
      <c r="R236" s="58" t="s">
        <v>77</v>
      </c>
      <c r="S236" s="45"/>
      <c r="T236" s="45"/>
      <c r="U236" s="59">
        <v>781004381</v>
      </c>
      <c r="V236" s="58" t="s">
        <v>459</v>
      </c>
      <c r="W236" s="60" t="s">
        <v>73</v>
      </c>
      <c r="X236" s="58" t="s">
        <v>90</v>
      </c>
      <c r="Y236" s="61">
        <f>38528+(6*364)</f>
        <v>40712</v>
      </c>
      <c r="Z236" s="44">
        <f t="shared" ca="1" si="3"/>
        <v>13</v>
      </c>
    </row>
    <row r="237" spans="1:26" x14ac:dyDescent="0.25">
      <c r="A237" s="52" t="s">
        <v>468</v>
      </c>
      <c r="B237" s="52" t="s">
        <v>90</v>
      </c>
      <c r="C237" s="53">
        <v>19951</v>
      </c>
      <c r="D237" s="54">
        <v>87312</v>
      </c>
      <c r="K237" s="54"/>
      <c r="N237" s="62">
        <v>401000302</v>
      </c>
      <c r="O237" s="56">
        <v>9706069116</v>
      </c>
      <c r="P237" s="44"/>
      <c r="Q237" s="57">
        <v>82944</v>
      </c>
      <c r="R237" s="58" t="s">
        <v>87</v>
      </c>
      <c r="S237" s="45"/>
      <c r="T237" s="45"/>
      <c r="U237" s="59">
        <v>883006408</v>
      </c>
      <c r="V237" s="58" t="s">
        <v>461</v>
      </c>
      <c r="W237" s="60" t="s">
        <v>73</v>
      </c>
      <c r="X237" s="58" t="s">
        <v>94</v>
      </c>
      <c r="Y237" s="61">
        <f>35052+(6*364)</f>
        <v>37236</v>
      </c>
      <c r="Z237" s="44">
        <f t="shared" ca="1" si="3"/>
        <v>23</v>
      </c>
    </row>
    <row r="238" spans="1:26" x14ac:dyDescent="0.25">
      <c r="A238" s="52" t="s">
        <v>469</v>
      </c>
      <c r="B238" s="52" t="s">
        <v>90</v>
      </c>
      <c r="C238" s="53">
        <v>75293</v>
      </c>
      <c r="D238" s="54">
        <v>110975</v>
      </c>
      <c r="K238" s="54"/>
      <c r="N238" s="62">
        <v>401009340</v>
      </c>
      <c r="O238" s="56">
        <v>5057819805</v>
      </c>
      <c r="P238" s="44" t="s">
        <v>76</v>
      </c>
      <c r="Q238" s="57">
        <v>105220</v>
      </c>
      <c r="R238" s="58" t="s">
        <v>71</v>
      </c>
      <c r="S238" s="45"/>
      <c r="T238" s="45"/>
      <c r="U238" s="59">
        <v>930009968</v>
      </c>
      <c r="V238" s="58" t="s">
        <v>458</v>
      </c>
      <c r="W238" s="60" t="s">
        <v>154</v>
      </c>
      <c r="X238" s="58" t="s">
        <v>90</v>
      </c>
      <c r="Y238" s="61">
        <f>35992+(6*364)</f>
        <v>38176</v>
      </c>
      <c r="Z238" s="44">
        <f t="shared" ca="1" si="3"/>
        <v>20</v>
      </c>
    </row>
    <row r="239" spans="1:26" x14ac:dyDescent="0.25">
      <c r="A239" s="52" t="s">
        <v>471</v>
      </c>
      <c r="B239" s="52" t="s">
        <v>90</v>
      </c>
      <c r="C239" s="53">
        <v>21207</v>
      </c>
      <c r="D239" s="54">
        <v>21091</v>
      </c>
      <c r="K239" s="54"/>
      <c r="N239" s="62">
        <v>408004172</v>
      </c>
      <c r="O239" s="56">
        <v>3035268508</v>
      </c>
      <c r="P239" s="44" t="s">
        <v>99</v>
      </c>
      <c r="Q239" s="57">
        <v>76427</v>
      </c>
      <c r="R239" s="58" t="s">
        <v>77</v>
      </c>
      <c r="S239" s="45"/>
      <c r="T239" s="45"/>
      <c r="U239" s="59">
        <v>954004951</v>
      </c>
      <c r="V239" s="58" t="s">
        <v>460</v>
      </c>
      <c r="W239" s="60" t="s">
        <v>79</v>
      </c>
      <c r="X239" s="58" t="s">
        <v>173</v>
      </c>
      <c r="Y239" s="61">
        <f>38284+(6*364)</f>
        <v>40468</v>
      </c>
      <c r="Z239" s="44">
        <f t="shared" ca="1" si="3"/>
        <v>14</v>
      </c>
    </row>
    <row r="240" spans="1:26" x14ac:dyDescent="0.25">
      <c r="A240" s="52" t="s">
        <v>472</v>
      </c>
      <c r="B240" s="52" t="s">
        <v>90</v>
      </c>
      <c r="C240" s="53">
        <v>23712</v>
      </c>
      <c r="D240" s="54">
        <v>105953</v>
      </c>
      <c r="K240" s="54"/>
      <c r="N240" s="62">
        <v>408006315</v>
      </c>
      <c r="O240" s="56">
        <v>9706530760</v>
      </c>
      <c r="P240" s="44"/>
      <c r="Q240" s="57">
        <v>108349</v>
      </c>
      <c r="R240" s="58" t="s">
        <v>109</v>
      </c>
      <c r="S240" s="45"/>
      <c r="T240" s="45"/>
      <c r="U240" s="59">
        <v>363002933</v>
      </c>
      <c r="V240" s="58" t="s">
        <v>465</v>
      </c>
      <c r="W240" s="60" t="s">
        <v>73</v>
      </c>
      <c r="X240" s="58" t="s">
        <v>173</v>
      </c>
      <c r="Y240" s="61">
        <f>41644+(6*364)</f>
        <v>43828</v>
      </c>
      <c r="Z240" s="44">
        <f t="shared" ca="1" si="3"/>
        <v>5</v>
      </c>
    </row>
    <row r="241" spans="1:26" x14ac:dyDescent="0.25">
      <c r="A241" s="52" t="s">
        <v>474</v>
      </c>
      <c r="B241" s="52" t="s">
        <v>90</v>
      </c>
      <c r="C241" s="53">
        <v>61809</v>
      </c>
      <c r="D241" s="54">
        <v>65322</v>
      </c>
      <c r="K241" s="54"/>
      <c r="N241" s="62">
        <v>411006868</v>
      </c>
      <c r="O241" s="56">
        <v>5056689962</v>
      </c>
      <c r="P241" s="44" t="s">
        <v>76</v>
      </c>
      <c r="Q241" s="57">
        <v>47178</v>
      </c>
      <c r="R241" s="58" t="s">
        <v>77</v>
      </c>
      <c r="S241" s="45"/>
      <c r="T241" s="45"/>
      <c r="U241" s="59">
        <v>396000019</v>
      </c>
      <c r="V241" s="58" t="s">
        <v>467</v>
      </c>
      <c r="W241" s="60" t="s">
        <v>73</v>
      </c>
      <c r="X241" s="58" t="s">
        <v>107</v>
      </c>
      <c r="Y241" s="61">
        <f>36398+(6*364)</f>
        <v>38582</v>
      </c>
      <c r="Z241" s="44">
        <f t="shared" ca="1" si="3"/>
        <v>19</v>
      </c>
    </row>
    <row r="242" spans="1:26" x14ac:dyDescent="0.25">
      <c r="A242" s="52" t="s">
        <v>475</v>
      </c>
      <c r="B242" s="52" t="s">
        <v>90</v>
      </c>
      <c r="C242" s="53">
        <v>56695</v>
      </c>
      <c r="D242" s="54">
        <v>112153</v>
      </c>
      <c r="K242" s="54"/>
      <c r="N242" s="62">
        <v>414001979</v>
      </c>
      <c r="O242" s="56">
        <v>9708367725</v>
      </c>
      <c r="P242" s="44" t="s">
        <v>92</v>
      </c>
      <c r="Q242" s="57">
        <v>51286</v>
      </c>
      <c r="R242" s="58" t="s">
        <v>71</v>
      </c>
      <c r="S242" s="45"/>
      <c r="T242" s="45"/>
      <c r="U242" s="59">
        <v>325006412</v>
      </c>
      <c r="V242" s="58" t="s">
        <v>462</v>
      </c>
      <c r="W242" s="60" t="s">
        <v>101</v>
      </c>
      <c r="X242" s="58" t="s">
        <v>104</v>
      </c>
      <c r="Y242" s="61">
        <f>36541+(6*364)</f>
        <v>38725</v>
      </c>
      <c r="Z242" s="44">
        <f t="shared" ca="1" si="3"/>
        <v>19</v>
      </c>
    </row>
    <row r="243" spans="1:26" x14ac:dyDescent="0.25">
      <c r="A243" s="52" t="s">
        <v>477</v>
      </c>
      <c r="B243" s="52" t="s">
        <v>90</v>
      </c>
      <c r="C243" s="53">
        <v>12081</v>
      </c>
      <c r="D243" s="54">
        <v>115937</v>
      </c>
      <c r="K243" s="54"/>
      <c r="N243" s="62">
        <v>415009070</v>
      </c>
      <c r="O243" s="56">
        <v>5055013435</v>
      </c>
      <c r="P243" s="44" t="s">
        <v>92</v>
      </c>
      <c r="Q243" s="57">
        <v>108895</v>
      </c>
      <c r="R243" s="58" t="s">
        <v>71</v>
      </c>
      <c r="S243" s="45"/>
      <c r="T243" s="45"/>
      <c r="U243" s="59">
        <v>411006868</v>
      </c>
      <c r="V243" s="58" t="s">
        <v>470</v>
      </c>
      <c r="W243" s="60" t="s">
        <v>89</v>
      </c>
      <c r="X243" s="58" t="s">
        <v>90</v>
      </c>
      <c r="Y243" s="61">
        <f>38101+(6*364)</f>
        <v>40285</v>
      </c>
      <c r="Z243" s="44">
        <f t="shared" ca="1" si="3"/>
        <v>14</v>
      </c>
    </row>
    <row r="244" spans="1:26" x14ac:dyDescent="0.25">
      <c r="A244" s="52" t="s">
        <v>479</v>
      </c>
      <c r="B244" s="52" t="s">
        <v>90</v>
      </c>
      <c r="C244" s="53">
        <v>15368</v>
      </c>
      <c r="D244" s="54">
        <v>72176</v>
      </c>
      <c r="K244" s="54"/>
      <c r="N244" s="62">
        <v>416008872</v>
      </c>
      <c r="O244" s="56">
        <v>3033517837</v>
      </c>
      <c r="P244" s="44"/>
      <c r="Q244" s="57">
        <v>75382</v>
      </c>
      <c r="R244" s="58" t="s">
        <v>109</v>
      </c>
      <c r="S244" s="45"/>
      <c r="T244" s="45"/>
      <c r="U244" s="59">
        <v>423009571</v>
      </c>
      <c r="V244" s="58" t="s">
        <v>463</v>
      </c>
      <c r="W244" s="60" t="s">
        <v>89</v>
      </c>
      <c r="X244" s="58" t="s">
        <v>104</v>
      </c>
      <c r="Y244" s="61">
        <f>35805+(6*364)</f>
        <v>37989</v>
      </c>
      <c r="Z244" s="44">
        <f t="shared" ca="1" si="3"/>
        <v>21</v>
      </c>
    </row>
    <row r="245" spans="1:26" x14ac:dyDescent="0.25">
      <c r="A245" s="52" t="s">
        <v>481</v>
      </c>
      <c r="B245" s="52" t="s">
        <v>90</v>
      </c>
      <c r="C245" s="53">
        <v>21623</v>
      </c>
      <c r="D245" s="54">
        <v>61930</v>
      </c>
      <c r="K245" s="54"/>
      <c r="N245" s="62">
        <v>422002439</v>
      </c>
      <c r="O245" s="56">
        <v>9704563177</v>
      </c>
      <c r="P245" s="44"/>
      <c r="Q245" s="57">
        <v>128039</v>
      </c>
      <c r="R245" s="58" t="s">
        <v>109</v>
      </c>
      <c r="S245" s="45"/>
      <c r="T245" s="45"/>
      <c r="U245" s="59">
        <v>711002724</v>
      </c>
      <c r="V245" s="58" t="s">
        <v>473</v>
      </c>
      <c r="W245" s="60" t="s">
        <v>89</v>
      </c>
      <c r="X245" s="58" t="s">
        <v>173</v>
      </c>
      <c r="Y245" s="61">
        <f>37297+(6*364)</f>
        <v>39481</v>
      </c>
      <c r="Z245" s="44">
        <f t="shared" ca="1" si="3"/>
        <v>17</v>
      </c>
    </row>
    <row r="246" spans="1:26" x14ac:dyDescent="0.25">
      <c r="A246" s="52" t="s">
        <v>482</v>
      </c>
      <c r="B246" s="52" t="s">
        <v>90</v>
      </c>
      <c r="C246" s="53">
        <v>33557</v>
      </c>
      <c r="D246" s="54">
        <v>74150</v>
      </c>
      <c r="K246" s="54"/>
      <c r="N246" s="62">
        <v>423007289</v>
      </c>
      <c r="O246" s="56">
        <v>3037848542</v>
      </c>
      <c r="P246" s="44" t="s">
        <v>82</v>
      </c>
      <c r="Q246" s="57">
        <v>112945</v>
      </c>
      <c r="R246" s="58" t="s">
        <v>71</v>
      </c>
      <c r="S246" s="45"/>
      <c r="T246" s="45"/>
      <c r="U246" s="59">
        <v>354001843</v>
      </c>
      <c r="V246" s="58" t="s">
        <v>212</v>
      </c>
      <c r="W246" s="60" t="s">
        <v>73</v>
      </c>
      <c r="X246" s="58" t="s">
        <v>173</v>
      </c>
      <c r="Y246" s="61">
        <f>37820+(6*364)</f>
        <v>40004</v>
      </c>
      <c r="Z246" s="44">
        <f t="shared" ca="1" si="3"/>
        <v>15</v>
      </c>
    </row>
    <row r="247" spans="1:26" x14ac:dyDescent="0.25">
      <c r="A247" s="52" t="s">
        <v>484</v>
      </c>
      <c r="B247" s="52" t="s">
        <v>90</v>
      </c>
      <c r="C247" s="53">
        <v>13233</v>
      </c>
      <c r="D247" s="54">
        <v>135031</v>
      </c>
      <c r="K247" s="54"/>
      <c r="N247" s="62">
        <v>423009571</v>
      </c>
      <c r="O247" s="56">
        <v>3036109756</v>
      </c>
      <c r="P247" s="44" t="s">
        <v>70</v>
      </c>
      <c r="Q247" s="57">
        <v>49968</v>
      </c>
      <c r="R247" s="58" t="s">
        <v>71</v>
      </c>
      <c r="S247" s="45"/>
      <c r="T247" s="45"/>
      <c r="U247" s="59">
        <v>687008279</v>
      </c>
      <c r="V247" s="58" t="s">
        <v>476</v>
      </c>
      <c r="W247" s="60" t="s">
        <v>89</v>
      </c>
      <c r="X247" s="58" t="s">
        <v>74</v>
      </c>
      <c r="Y247" s="61">
        <f>37529+(6*364)</f>
        <v>39713</v>
      </c>
      <c r="Z247" s="44">
        <f t="shared" ca="1" si="3"/>
        <v>16</v>
      </c>
    </row>
    <row r="248" spans="1:26" x14ac:dyDescent="0.25">
      <c r="A248" s="52" t="s">
        <v>486</v>
      </c>
      <c r="B248" s="52" t="s">
        <v>90</v>
      </c>
      <c r="C248" s="53">
        <v>72448</v>
      </c>
      <c r="D248" s="54">
        <v>51119</v>
      </c>
      <c r="K248" s="54"/>
      <c r="N248" s="62">
        <v>424003332</v>
      </c>
      <c r="O248" s="56">
        <v>9707508998</v>
      </c>
      <c r="P248" s="44" t="s">
        <v>76</v>
      </c>
      <c r="Q248" s="57">
        <v>47056</v>
      </c>
      <c r="R248" s="58" t="s">
        <v>71</v>
      </c>
      <c r="S248" s="45"/>
      <c r="T248" s="45"/>
      <c r="U248" s="59">
        <v>947002808</v>
      </c>
      <c r="V248" s="58" t="s">
        <v>478</v>
      </c>
      <c r="W248" s="60" t="s">
        <v>79</v>
      </c>
      <c r="X248" s="58" t="s">
        <v>85</v>
      </c>
      <c r="Y248" s="61">
        <f>37178+(6*364)</f>
        <v>39362</v>
      </c>
      <c r="Z248" s="44">
        <f t="shared" ca="1" si="3"/>
        <v>17</v>
      </c>
    </row>
    <row r="249" spans="1:26" x14ac:dyDescent="0.25">
      <c r="A249" s="52" t="s">
        <v>488</v>
      </c>
      <c r="B249" s="52" t="s">
        <v>90</v>
      </c>
      <c r="C249" s="53">
        <v>99398</v>
      </c>
      <c r="D249" s="54">
        <v>48957</v>
      </c>
      <c r="K249" s="54"/>
      <c r="N249" s="62">
        <v>424007958</v>
      </c>
      <c r="O249" s="56">
        <v>9708385730</v>
      </c>
      <c r="P249" s="44" t="s">
        <v>76</v>
      </c>
      <c r="Q249" s="57">
        <v>79618</v>
      </c>
      <c r="R249" s="58" t="s">
        <v>71</v>
      </c>
      <c r="S249" s="45"/>
      <c r="T249" s="45"/>
      <c r="U249" s="59">
        <v>120001650</v>
      </c>
      <c r="V249" s="58" t="s">
        <v>480</v>
      </c>
      <c r="W249" s="60" t="s">
        <v>79</v>
      </c>
      <c r="X249" s="58" t="s">
        <v>90</v>
      </c>
      <c r="Y249" s="61">
        <f>37753+(6*364)</f>
        <v>39937</v>
      </c>
      <c r="Z249" s="44">
        <f t="shared" ca="1" si="3"/>
        <v>15</v>
      </c>
    </row>
    <row r="250" spans="1:26" x14ac:dyDescent="0.25">
      <c r="A250" s="52" t="s">
        <v>489</v>
      </c>
      <c r="B250" s="52" t="s">
        <v>90</v>
      </c>
      <c r="C250" s="53">
        <v>98745</v>
      </c>
      <c r="D250" s="54">
        <v>125076</v>
      </c>
      <c r="K250" s="54"/>
      <c r="N250" s="62">
        <v>425008999</v>
      </c>
      <c r="O250" s="56">
        <v>7196410575</v>
      </c>
      <c r="P250" s="44" t="s">
        <v>99</v>
      </c>
      <c r="Q250" s="57">
        <v>38895</v>
      </c>
      <c r="R250" s="58" t="s">
        <v>71</v>
      </c>
      <c r="S250" s="45"/>
      <c r="T250" s="45"/>
      <c r="U250" s="59">
        <v>984006789</v>
      </c>
      <c r="V250" s="58" t="s">
        <v>466</v>
      </c>
      <c r="W250" s="60" t="s">
        <v>79</v>
      </c>
      <c r="X250" s="58" t="s">
        <v>107</v>
      </c>
      <c r="Y250" s="61">
        <f>37889+(6*364)</f>
        <v>40073</v>
      </c>
      <c r="Z250" s="44">
        <f t="shared" ca="1" si="3"/>
        <v>15</v>
      </c>
    </row>
    <row r="251" spans="1:26" x14ac:dyDescent="0.25">
      <c r="A251" s="52" t="s">
        <v>491</v>
      </c>
      <c r="B251" s="52" t="s">
        <v>90</v>
      </c>
      <c r="C251" s="53">
        <v>74805</v>
      </c>
      <c r="D251" s="54">
        <v>76747</v>
      </c>
      <c r="K251" s="54"/>
      <c r="N251" s="55">
        <v>428008045</v>
      </c>
      <c r="O251" s="56">
        <v>9705724528</v>
      </c>
      <c r="P251" s="44"/>
      <c r="Q251" s="57">
        <v>67278</v>
      </c>
      <c r="R251" s="58" t="s">
        <v>87</v>
      </c>
      <c r="S251" s="45"/>
      <c r="T251" s="45"/>
      <c r="U251" s="59">
        <v>712008212</v>
      </c>
      <c r="V251" s="58" t="s">
        <v>483</v>
      </c>
      <c r="W251" s="60" t="s">
        <v>154</v>
      </c>
      <c r="X251" s="58" t="s">
        <v>104</v>
      </c>
      <c r="Y251" s="61">
        <f>36626+(6*364)</f>
        <v>38810</v>
      </c>
      <c r="Z251" s="44">
        <f t="shared" ca="1" si="3"/>
        <v>18</v>
      </c>
    </row>
    <row r="252" spans="1:26" x14ac:dyDescent="0.25">
      <c r="A252" s="52" t="s">
        <v>493</v>
      </c>
      <c r="B252" s="52" t="s">
        <v>90</v>
      </c>
      <c r="C252" s="53">
        <v>45499</v>
      </c>
      <c r="D252" s="54">
        <v>95869</v>
      </c>
      <c r="K252" s="54"/>
      <c r="N252" s="62">
        <v>430002752</v>
      </c>
      <c r="O252" s="56">
        <v>9706194175</v>
      </c>
      <c r="P252" s="44" t="s">
        <v>99</v>
      </c>
      <c r="Q252" s="57">
        <v>104296</v>
      </c>
      <c r="R252" s="58" t="s">
        <v>71</v>
      </c>
      <c r="S252" s="45"/>
      <c r="T252" s="45"/>
      <c r="U252" s="59">
        <v>936003296</v>
      </c>
      <c r="V252" s="58" t="s">
        <v>485</v>
      </c>
      <c r="W252" s="60" t="s">
        <v>73</v>
      </c>
      <c r="X252" s="58" t="s">
        <v>205</v>
      </c>
      <c r="Y252" s="61">
        <f>35204+(6*364)</f>
        <v>37388</v>
      </c>
      <c r="Z252" s="44">
        <f t="shared" ca="1" si="3"/>
        <v>22</v>
      </c>
    </row>
    <row r="253" spans="1:26" x14ac:dyDescent="0.25">
      <c r="A253" s="52" t="s">
        <v>494</v>
      </c>
      <c r="B253" s="52" t="s">
        <v>90</v>
      </c>
      <c r="C253" s="53">
        <v>28352</v>
      </c>
      <c r="D253" s="54">
        <v>56512</v>
      </c>
      <c r="K253" s="54"/>
      <c r="N253" s="62">
        <v>430006440</v>
      </c>
      <c r="O253" s="56">
        <v>7192400087</v>
      </c>
      <c r="P253" s="44" t="s">
        <v>92</v>
      </c>
      <c r="Q253" s="57">
        <v>126973</v>
      </c>
      <c r="R253" s="58" t="s">
        <v>71</v>
      </c>
      <c r="S253" s="45"/>
      <c r="T253" s="45"/>
      <c r="U253" s="59">
        <v>578006359</v>
      </c>
      <c r="V253" s="58" t="s">
        <v>487</v>
      </c>
      <c r="W253" s="60" t="s">
        <v>89</v>
      </c>
      <c r="X253" s="58" t="s">
        <v>90</v>
      </c>
      <c r="Y253" s="61">
        <f>38459+(6*364)</f>
        <v>40643</v>
      </c>
      <c r="Z253" s="44">
        <f t="shared" ca="1" si="3"/>
        <v>13</v>
      </c>
    </row>
    <row r="254" spans="1:26" x14ac:dyDescent="0.25">
      <c r="A254" s="52" t="s">
        <v>495</v>
      </c>
      <c r="B254" s="52" t="s">
        <v>90</v>
      </c>
      <c r="C254" s="53">
        <v>16817</v>
      </c>
      <c r="D254" s="54">
        <v>22225</v>
      </c>
      <c r="K254" s="54"/>
      <c r="N254" s="55">
        <v>431000330</v>
      </c>
      <c r="O254" s="56">
        <v>9705866679</v>
      </c>
      <c r="P254" s="44" t="s">
        <v>76</v>
      </c>
      <c r="Q254" s="57">
        <v>73488</v>
      </c>
      <c r="R254" s="58" t="s">
        <v>71</v>
      </c>
      <c r="S254" s="45"/>
      <c r="T254" s="45"/>
      <c r="U254" s="59">
        <v>491006485</v>
      </c>
      <c r="V254" s="58" t="s">
        <v>468</v>
      </c>
      <c r="W254" s="60" t="s">
        <v>79</v>
      </c>
      <c r="X254" s="58" t="s">
        <v>107</v>
      </c>
      <c r="Y254" s="61">
        <f>37441+(6*364)</f>
        <v>39625</v>
      </c>
      <c r="Z254" s="44">
        <f t="shared" ca="1" si="3"/>
        <v>16</v>
      </c>
    </row>
    <row r="255" spans="1:26" x14ac:dyDescent="0.25">
      <c r="A255" s="52" t="s">
        <v>496</v>
      </c>
      <c r="B255" s="52" t="s">
        <v>90</v>
      </c>
      <c r="C255" s="53">
        <v>55100</v>
      </c>
      <c r="D255" s="54">
        <v>106667</v>
      </c>
      <c r="K255" s="54"/>
      <c r="N255" s="55">
        <v>431008194</v>
      </c>
      <c r="O255" s="56">
        <v>9708642893</v>
      </c>
      <c r="P255" s="44" t="s">
        <v>92</v>
      </c>
      <c r="Q255" s="57">
        <v>83586</v>
      </c>
      <c r="R255" s="58" t="s">
        <v>77</v>
      </c>
      <c r="S255" s="45"/>
      <c r="T255" s="45"/>
      <c r="U255" s="59">
        <v>907007584</v>
      </c>
      <c r="V255" s="58" t="s">
        <v>490</v>
      </c>
      <c r="W255" s="60" t="s">
        <v>73</v>
      </c>
      <c r="X255" s="58" t="s">
        <v>94</v>
      </c>
      <c r="Y255" s="61">
        <f>42401+(6*364)</f>
        <v>44585</v>
      </c>
      <c r="Z255" s="44">
        <f t="shared" ca="1" si="3"/>
        <v>3</v>
      </c>
    </row>
    <row r="256" spans="1:26" x14ac:dyDescent="0.25">
      <c r="A256" s="52" t="s">
        <v>498</v>
      </c>
      <c r="B256" s="52" t="s">
        <v>90</v>
      </c>
      <c r="C256" s="53">
        <v>90261</v>
      </c>
      <c r="D256" s="54">
        <v>61567</v>
      </c>
      <c r="K256" s="54"/>
      <c r="N256" s="62">
        <v>432005894</v>
      </c>
      <c r="O256" s="56">
        <v>3031876990</v>
      </c>
      <c r="P256" s="44"/>
      <c r="Q256" s="57">
        <v>30473</v>
      </c>
      <c r="R256" s="58" t="s">
        <v>87</v>
      </c>
      <c r="S256" s="45"/>
      <c r="T256" s="45"/>
      <c r="U256" s="59">
        <v>743008004</v>
      </c>
      <c r="V256" s="58" t="s">
        <v>492</v>
      </c>
      <c r="W256" s="60" t="s">
        <v>154</v>
      </c>
      <c r="X256" s="58" t="s">
        <v>90</v>
      </c>
      <c r="Y256" s="61">
        <f>38524+(6*364)</f>
        <v>40708</v>
      </c>
      <c r="Z256" s="44">
        <f t="shared" ca="1" si="3"/>
        <v>13</v>
      </c>
    </row>
    <row r="257" spans="1:26" x14ac:dyDescent="0.25">
      <c r="A257" s="52" t="s">
        <v>499</v>
      </c>
      <c r="B257" s="52" t="s">
        <v>90</v>
      </c>
      <c r="C257" s="53">
        <v>99489</v>
      </c>
      <c r="D257" s="54">
        <v>61424</v>
      </c>
      <c r="K257" s="54"/>
      <c r="N257" s="62">
        <v>432006414</v>
      </c>
      <c r="O257" s="56">
        <v>7193539786</v>
      </c>
      <c r="P257" s="44"/>
      <c r="Q257" s="57">
        <v>59575</v>
      </c>
      <c r="R257" s="58" t="s">
        <v>87</v>
      </c>
      <c r="S257" s="45"/>
      <c r="T257" s="45"/>
      <c r="U257" s="59">
        <v>903005127</v>
      </c>
      <c r="V257" s="58" t="s">
        <v>318</v>
      </c>
      <c r="W257" s="60" t="s">
        <v>79</v>
      </c>
      <c r="X257" s="58" t="s">
        <v>173</v>
      </c>
      <c r="Y257" s="61">
        <f>40161+(6*364)</f>
        <v>42345</v>
      </c>
      <c r="Z257" s="44">
        <f t="shared" ca="1" si="3"/>
        <v>9</v>
      </c>
    </row>
    <row r="258" spans="1:26" x14ac:dyDescent="0.25">
      <c r="A258" s="52" t="s">
        <v>501</v>
      </c>
      <c r="B258" s="52" t="s">
        <v>90</v>
      </c>
      <c r="C258" s="53">
        <v>74506</v>
      </c>
      <c r="D258" s="54">
        <v>25808</v>
      </c>
      <c r="K258" s="54"/>
      <c r="N258" s="62">
        <v>432007321</v>
      </c>
      <c r="O258" s="56">
        <v>3032339143</v>
      </c>
      <c r="P258" s="44" t="s">
        <v>82</v>
      </c>
      <c r="Q258" s="57">
        <v>85901</v>
      </c>
      <c r="R258" s="58" t="s">
        <v>71</v>
      </c>
      <c r="S258" s="45"/>
      <c r="T258" s="45"/>
      <c r="U258" s="59">
        <v>431000330</v>
      </c>
      <c r="V258" s="58" t="s">
        <v>366</v>
      </c>
      <c r="W258" s="60" t="s">
        <v>73</v>
      </c>
      <c r="X258" s="58" t="s">
        <v>104</v>
      </c>
      <c r="Y258" s="61">
        <f>41328+(6*364)</f>
        <v>43512</v>
      </c>
      <c r="Z258" s="44">
        <f t="shared" ref="Z258:Z321" ca="1" si="4">DATEDIF(Y258,TODAY(),"Y")</f>
        <v>6</v>
      </c>
    </row>
    <row r="259" spans="1:26" x14ac:dyDescent="0.25">
      <c r="A259" s="52" t="s">
        <v>503</v>
      </c>
      <c r="B259" s="52" t="s">
        <v>90</v>
      </c>
      <c r="C259" s="53">
        <v>30332</v>
      </c>
      <c r="D259" s="54">
        <v>64914</v>
      </c>
      <c r="K259" s="54"/>
      <c r="N259" s="55">
        <v>432009378</v>
      </c>
      <c r="O259" s="56">
        <v>5052814530</v>
      </c>
      <c r="P259" s="44" t="s">
        <v>92</v>
      </c>
      <c r="Q259" s="57">
        <v>124514</v>
      </c>
      <c r="R259" s="58" t="s">
        <v>77</v>
      </c>
      <c r="S259" s="45"/>
      <c r="T259" s="45"/>
      <c r="U259" s="59">
        <v>514008045</v>
      </c>
      <c r="V259" s="58" t="s">
        <v>412</v>
      </c>
      <c r="W259" s="60" t="s">
        <v>79</v>
      </c>
      <c r="X259" s="58" t="s">
        <v>90</v>
      </c>
      <c r="Y259" s="61">
        <f>40461+(6*364)</f>
        <v>42645</v>
      </c>
      <c r="Z259" s="44">
        <f t="shared" ca="1" si="4"/>
        <v>8</v>
      </c>
    </row>
    <row r="260" spans="1:26" x14ac:dyDescent="0.25">
      <c r="A260" s="52" t="s">
        <v>504</v>
      </c>
      <c r="B260" s="52" t="s">
        <v>90</v>
      </c>
      <c r="C260" s="53">
        <v>27397</v>
      </c>
      <c r="D260" s="54">
        <v>39353</v>
      </c>
      <c r="K260" s="54"/>
      <c r="N260" s="62">
        <v>433000320</v>
      </c>
      <c r="O260" s="56">
        <v>3032604602</v>
      </c>
      <c r="P260" s="44" t="s">
        <v>99</v>
      </c>
      <c r="Q260" s="57">
        <v>52875</v>
      </c>
      <c r="R260" s="58" t="s">
        <v>71</v>
      </c>
      <c r="S260" s="45"/>
      <c r="T260" s="45"/>
      <c r="U260" s="59">
        <v>779008961</v>
      </c>
      <c r="V260" s="58" t="s">
        <v>497</v>
      </c>
      <c r="W260" s="60" t="s">
        <v>89</v>
      </c>
      <c r="X260" s="58" t="s">
        <v>104</v>
      </c>
      <c r="Y260" s="61">
        <f>35502+(6*364)</f>
        <v>37686</v>
      </c>
      <c r="Z260" s="44">
        <f t="shared" ca="1" si="4"/>
        <v>21</v>
      </c>
    </row>
    <row r="261" spans="1:26" x14ac:dyDescent="0.25">
      <c r="A261" s="52" t="s">
        <v>506</v>
      </c>
      <c r="B261" s="52" t="s">
        <v>90</v>
      </c>
      <c r="C261" s="53">
        <v>16462</v>
      </c>
      <c r="D261" s="54">
        <v>79846</v>
      </c>
      <c r="K261" s="54"/>
      <c r="N261" s="62">
        <v>433000612</v>
      </c>
      <c r="O261" s="56">
        <v>5055594427</v>
      </c>
      <c r="P261" s="44" t="s">
        <v>70</v>
      </c>
      <c r="Q261" s="57">
        <v>121840</v>
      </c>
      <c r="R261" s="58" t="s">
        <v>71</v>
      </c>
      <c r="S261" s="45"/>
      <c r="T261" s="45"/>
      <c r="U261" s="59">
        <v>212008950</v>
      </c>
      <c r="V261" s="58" t="s">
        <v>469</v>
      </c>
      <c r="W261" s="60" t="s">
        <v>89</v>
      </c>
      <c r="X261" s="58" t="s">
        <v>90</v>
      </c>
      <c r="Y261" s="61">
        <f>41314+(6*364)</f>
        <v>43498</v>
      </c>
      <c r="Z261" s="44">
        <f t="shared" ca="1" si="4"/>
        <v>6</v>
      </c>
    </row>
    <row r="262" spans="1:26" x14ac:dyDescent="0.25">
      <c r="A262" s="52" t="s">
        <v>508</v>
      </c>
      <c r="B262" s="52" t="s">
        <v>90</v>
      </c>
      <c r="C262" s="53">
        <v>50543</v>
      </c>
      <c r="D262" s="54">
        <v>104529</v>
      </c>
      <c r="K262" s="54"/>
      <c r="N262" s="62">
        <v>435006387</v>
      </c>
      <c r="O262" s="56">
        <v>9708472270</v>
      </c>
      <c r="P262" s="44"/>
      <c r="Q262" s="57">
        <v>45780</v>
      </c>
      <c r="R262" s="58" t="s">
        <v>87</v>
      </c>
      <c r="S262" s="45"/>
      <c r="T262" s="45"/>
      <c r="U262" s="59">
        <v>396006973</v>
      </c>
      <c r="V262" s="58" t="s">
        <v>500</v>
      </c>
      <c r="W262" s="60" t="s">
        <v>73</v>
      </c>
      <c r="X262" s="58" t="s">
        <v>104</v>
      </c>
      <c r="Y262" s="61">
        <f>40731+(6*364)</f>
        <v>42915</v>
      </c>
      <c r="Z262" s="44">
        <f t="shared" ca="1" si="4"/>
        <v>7</v>
      </c>
    </row>
    <row r="263" spans="1:26" x14ac:dyDescent="0.25">
      <c r="A263" s="52" t="s">
        <v>509</v>
      </c>
      <c r="B263" s="52" t="s">
        <v>90</v>
      </c>
      <c r="C263" s="53">
        <v>12974</v>
      </c>
      <c r="D263" s="54">
        <v>53630</v>
      </c>
      <c r="K263" s="54"/>
      <c r="N263" s="62">
        <v>435007144</v>
      </c>
      <c r="O263" s="56">
        <v>5056965088</v>
      </c>
      <c r="P263" s="44" t="s">
        <v>92</v>
      </c>
      <c r="Q263" s="57">
        <v>74696</v>
      </c>
      <c r="R263" s="58" t="s">
        <v>71</v>
      </c>
      <c r="S263" s="45"/>
      <c r="T263" s="45"/>
      <c r="U263" s="59">
        <v>266009123</v>
      </c>
      <c r="V263" s="58" t="s">
        <v>502</v>
      </c>
      <c r="W263" s="60" t="s">
        <v>79</v>
      </c>
      <c r="X263" s="58" t="s">
        <v>90</v>
      </c>
      <c r="Y263" s="61">
        <f>37414+(6*364)</f>
        <v>39598</v>
      </c>
      <c r="Z263" s="44">
        <f t="shared" ca="1" si="4"/>
        <v>16</v>
      </c>
    </row>
    <row r="264" spans="1:26" x14ac:dyDescent="0.25">
      <c r="A264" s="52" t="s">
        <v>511</v>
      </c>
      <c r="B264" s="52" t="s">
        <v>90</v>
      </c>
      <c r="C264" s="53">
        <v>40833</v>
      </c>
      <c r="D264" s="54">
        <v>67178</v>
      </c>
      <c r="K264" s="54"/>
      <c r="N264" s="62">
        <v>435009601</v>
      </c>
      <c r="O264" s="56">
        <v>7198252392</v>
      </c>
      <c r="P264" s="44" t="s">
        <v>76</v>
      </c>
      <c r="Q264" s="57">
        <v>122701</v>
      </c>
      <c r="R264" s="58" t="s">
        <v>71</v>
      </c>
      <c r="S264" s="45"/>
      <c r="T264" s="45"/>
      <c r="U264" s="59">
        <v>251006698</v>
      </c>
      <c r="V264" s="58" t="s">
        <v>91</v>
      </c>
      <c r="W264" s="60" t="s">
        <v>73</v>
      </c>
      <c r="X264" s="58" t="s">
        <v>80</v>
      </c>
      <c r="Y264" s="61">
        <f>38543+(6*364)</f>
        <v>40727</v>
      </c>
      <c r="Z264" s="44">
        <f t="shared" ca="1" si="4"/>
        <v>13</v>
      </c>
    </row>
    <row r="265" spans="1:26" x14ac:dyDescent="0.25">
      <c r="A265" s="52" t="s">
        <v>513</v>
      </c>
      <c r="B265" s="52" t="s">
        <v>90</v>
      </c>
      <c r="C265" s="53">
        <v>72350</v>
      </c>
      <c r="D265" s="54">
        <v>117497</v>
      </c>
      <c r="K265" s="54"/>
      <c r="N265" s="55">
        <v>437004721</v>
      </c>
      <c r="O265" s="56">
        <v>7196168483</v>
      </c>
      <c r="P265" s="44"/>
      <c r="Q265" s="57">
        <v>39915</v>
      </c>
      <c r="R265" s="58" t="s">
        <v>109</v>
      </c>
      <c r="S265" s="45"/>
      <c r="T265" s="45"/>
      <c r="U265" s="59">
        <v>453005250</v>
      </c>
      <c r="V265" s="58" t="s">
        <v>505</v>
      </c>
      <c r="W265" s="60" t="s">
        <v>154</v>
      </c>
      <c r="X265" s="58" t="s">
        <v>90</v>
      </c>
      <c r="Y265" s="61">
        <f>40798+(6*364)</f>
        <v>42982</v>
      </c>
      <c r="Z265" s="44">
        <f t="shared" ca="1" si="4"/>
        <v>7</v>
      </c>
    </row>
    <row r="266" spans="1:26" x14ac:dyDescent="0.25">
      <c r="A266" s="52" t="s">
        <v>515</v>
      </c>
      <c r="B266" s="52" t="s">
        <v>90</v>
      </c>
      <c r="C266" s="53">
        <v>14019</v>
      </c>
      <c r="D266" s="54">
        <v>67505</v>
      </c>
      <c r="K266" s="54"/>
      <c r="N266" s="55">
        <v>437006042</v>
      </c>
      <c r="O266" s="56">
        <v>3032140101</v>
      </c>
      <c r="P266" s="44" t="s">
        <v>92</v>
      </c>
      <c r="Q266" s="57">
        <v>48216</v>
      </c>
      <c r="R266" s="58" t="s">
        <v>71</v>
      </c>
      <c r="S266" s="45"/>
      <c r="T266" s="45"/>
      <c r="U266" s="59">
        <v>492007833</v>
      </c>
      <c r="V266" s="58" t="s">
        <v>507</v>
      </c>
      <c r="W266" s="60" t="s">
        <v>101</v>
      </c>
      <c r="X266" s="58" t="s">
        <v>85</v>
      </c>
      <c r="Y266" s="61">
        <f>35331+(6*364)</f>
        <v>37515</v>
      </c>
      <c r="Z266" s="44">
        <f t="shared" ca="1" si="4"/>
        <v>22</v>
      </c>
    </row>
    <row r="267" spans="1:26" x14ac:dyDescent="0.25">
      <c r="A267" s="52" t="s">
        <v>516</v>
      </c>
      <c r="B267" s="52" t="s">
        <v>90</v>
      </c>
      <c r="C267" s="53">
        <v>13074</v>
      </c>
      <c r="D267" s="54">
        <v>74592</v>
      </c>
      <c r="K267" s="54"/>
      <c r="N267" s="62">
        <v>438002519</v>
      </c>
      <c r="O267" s="56">
        <v>9704785979</v>
      </c>
      <c r="P267" s="44" t="s">
        <v>99</v>
      </c>
      <c r="Q267" s="57">
        <v>93550</v>
      </c>
      <c r="R267" s="58" t="s">
        <v>77</v>
      </c>
      <c r="S267" s="45"/>
      <c r="T267" s="45"/>
      <c r="U267" s="59">
        <v>375007274</v>
      </c>
      <c r="V267" s="58" t="s">
        <v>213</v>
      </c>
      <c r="W267" s="60" t="s">
        <v>73</v>
      </c>
      <c r="X267" s="58" t="s">
        <v>356</v>
      </c>
      <c r="Y267" s="61">
        <f>39870+(6*364)</f>
        <v>42054</v>
      </c>
      <c r="Z267" s="44">
        <f t="shared" ca="1" si="4"/>
        <v>10</v>
      </c>
    </row>
    <row r="268" spans="1:26" x14ac:dyDescent="0.25">
      <c r="A268" s="52" t="s">
        <v>517</v>
      </c>
      <c r="B268" s="52" t="s">
        <v>90</v>
      </c>
      <c r="C268" s="53">
        <v>50068</v>
      </c>
      <c r="D268" s="54">
        <v>90441</v>
      </c>
      <c r="K268" s="54"/>
      <c r="N268" s="62">
        <v>440009865</v>
      </c>
      <c r="O268" s="56">
        <v>3032376215</v>
      </c>
      <c r="P268" s="44" t="s">
        <v>99</v>
      </c>
      <c r="Q268" s="57">
        <v>80340</v>
      </c>
      <c r="R268" s="58" t="s">
        <v>71</v>
      </c>
      <c r="S268" s="45"/>
      <c r="T268" s="45"/>
      <c r="U268" s="59">
        <v>776007109</v>
      </c>
      <c r="V268" s="58" t="s">
        <v>510</v>
      </c>
      <c r="W268" s="60" t="s">
        <v>154</v>
      </c>
      <c r="X268" s="58" t="s">
        <v>147</v>
      </c>
      <c r="Y268" s="61">
        <f>35541+(6*364)</f>
        <v>37725</v>
      </c>
      <c r="Z268" s="44">
        <f t="shared" ca="1" si="4"/>
        <v>21</v>
      </c>
    </row>
    <row r="269" spans="1:26" x14ac:dyDescent="0.25">
      <c r="A269" s="52" t="s">
        <v>519</v>
      </c>
      <c r="B269" s="52" t="s">
        <v>90</v>
      </c>
      <c r="C269" s="53">
        <v>40174</v>
      </c>
      <c r="D269" s="54">
        <v>53280</v>
      </c>
      <c r="K269" s="54"/>
      <c r="N269" s="62">
        <v>441009123</v>
      </c>
      <c r="O269" s="56">
        <v>5057230063</v>
      </c>
      <c r="P269" s="44" t="s">
        <v>92</v>
      </c>
      <c r="Q269" s="57">
        <v>37705</v>
      </c>
      <c r="R269" s="58" t="s">
        <v>71</v>
      </c>
      <c r="S269" s="45"/>
      <c r="T269" s="45"/>
      <c r="U269" s="59">
        <v>437006042</v>
      </c>
      <c r="V269" s="58" t="s">
        <v>512</v>
      </c>
      <c r="W269" s="60" t="s">
        <v>89</v>
      </c>
      <c r="X269" s="58" t="s">
        <v>90</v>
      </c>
      <c r="Y269" s="61">
        <f>37112+(6*364)</f>
        <v>39296</v>
      </c>
      <c r="Z269" s="44">
        <f t="shared" ca="1" si="4"/>
        <v>17</v>
      </c>
    </row>
    <row r="270" spans="1:26" x14ac:dyDescent="0.25">
      <c r="A270" s="52" t="s">
        <v>521</v>
      </c>
      <c r="B270" s="52" t="s">
        <v>90</v>
      </c>
      <c r="C270" s="53">
        <v>75158</v>
      </c>
      <c r="D270" s="54">
        <v>90673</v>
      </c>
      <c r="K270" s="54"/>
      <c r="N270" s="62">
        <v>443001198</v>
      </c>
      <c r="O270" s="56">
        <v>9705829090</v>
      </c>
      <c r="P270" s="44"/>
      <c r="Q270" s="57">
        <v>54267</v>
      </c>
      <c r="R270" s="58" t="s">
        <v>87</v>
      </c>
      <c r="S270" s="45"/>
      <c r="T270" s="45"/>
      <c r="U270" s="59">
        <v>192009615</v>
      </c>
      <c r="V270" s="58" t="s">
        <v>514</v>
      </c>
      <c r="W270" s="60" t="s">
        <v>73</v>
      </c>
      <c r="X270" s="58" t="s">
        <v>90</v>
      </c>
      <c r="Y270" s="61">
        <f>36895+(6*364)</f>
        <v>39079</v>
      </c>
      <c r="Z270" s="44">
        <f t="shared" ca="1" si="4"/>
        <v>18</v>
      </c>
    </row>
    <row r="271" spans="1:26" x14ac:dyDescent="0.25">
      <c r="A271" s="52" t="s">
        <v>522</v>
      </c>
      <c r="B271" s="52" t="s">
        <v>90</v>
      </c>
      <c r="C271" s="53">
        <v>62403</v>
      </c>
      <c r="D271" s="54">
        <v>63182</v>
      </c>
      <c r="K271" s="54"/>
      <c r="N271" s="62">
        <v>443001756</v>
      </c>
      <c r="O271" s="56">
        <v>9701156902</v>
      </c>
      <c r="P271" s="44"/>
      <c r="Q271" s="57">
        <v>65696</v>
      </c>
      <c r="R271" s="58" t="s">
        <v>87</v>
      </c>
      <c r="S271" s="45"/>
      <c r="T271" s="45"/>
      <c r="U271" s="59">
        <v>830000615</v>
      </c>
      <c r="V271" s="58" t="s">
        <v>215</v>
      </c>
      <c r="W271" s="60" t="s">
        <v>89</v>
      </c>
      <c r="X271" s="58" t="s">
        <v>107</v>
      </c>
      <c r="Y271" s="61">
        <f>35152+(6*364)</f>
        <v>37336</v>
      </c>
      <c r="Z271" s="44">
        <f t="shared" ca="1" si="4"/>
        <v>22</v>
      </c>
    </row>
    <row r="272" spans="1:26" x14ac:dyDescent="0.25">
      <c r="A272" s="52" t="s">
        <v>525</v>
      </c>
      <c r="B272" s="52" t="s">
        <v>90</v>
      </c>
      <c r="C272" s="53">
        <v>32585</v>
      </c>
      <c r="D272" s="54">
        <v>136893</v>
      </c>
      <c r="K272" s="54"/>
      <c r="N272" s="62">
        <v>443007002</v>
      </c>
      <c r="O272" s="56">
        <v>3031220758</v>
      </c>
      <c r="P272" s="44" t="s">
        <v>92</v>
      </c>
      <c r="Q272" s="57">
        <v>94947</v>
      </c>
      <c r="R272" s="58" t="s">
        <v>71</v>
      </c>
      <c r="S272" s="45"/>
      <c r="T272" s="45"/>
      <c r="U272" s="59">
        <v>997009126</v>
      </c>
      <c r="V272" s="58" t="s">
        <v>471</v>
      </c>
      <c r="W272" s="60" t="s">
        <v>84</v>
      </c>
      <c r="X272" s="58" t="s">
        <v>85</v>
      </c>
      <c r="Y272" s="61">
        <f>42007+(6*364)</f>
        <v>44191</v>
      </c>
      <c r="Z272" s="44">
        <f t="shared" ca="1" si="4"/>
        <v>4</v>
      </c>
    </row>
    <row r="273" spans="1:26" x14ac:dyDescent="0.25">
      <c r="A273" s="52" t="s">
        <v>526</v>
      </c>
      <c r="B273" s="52" t="s">
        <v>90</v>
      </c>
      <c r="C273" s="53">
        <v>59371</v>
      </c>
      <c r="D273" s="54">
        <v>72715</v>
      </c>
      <c r="K273" s="54"/>
      <c r="N273" s="62">
        <v>445000636</v>
      </c>
      <c r="O273" s="56">
        <v>7192917217</v>
      </c>
      <c r="P273" s="44" t="s">
        <v>70</v>
      </c>
      <c r="Q273" s="57">
        <v>57511</v>
      </c>
      <c r="R273" s="58" t="s">
        <v>71</v>
      </c>
      <c r="S273" s="45"/>
      <c r="T273" s="45"/>
      <c r="U273" s="59">
        <v>391003704</v>
      </c>
      <c r="V273" s="58" t="s">
        <v>518</v>
      </c>
      <c r="W273" s="60" t="s">
        <v>101</v>
      </c>
      <c r="X273" s="58" t="s">
        <v>90</v>
      </c>
      <c r="Y273" s="61">
        <f>37235+(6*364)</f>
        <v>39419</v>
      </c>
      <c r="Z273" s="44">
        <f t="shared" ca="1" si="4"/>
        <v>17</v>
      </c>
    </row>
    <row r="274" spans="1:26" x14ac:dyDescent="0.25">
      <c r="A274" s="52" t="s">
        <v>528</v>
      </c>
      <c r="B274" s="52" t="s">
        <v>90</v>
      </c>
      <c r="C274" s="53">
        <v>63601</v>
      </c>
      <c r="D274" s="54">
        <v>106318</v>
      </c>
      <c r="K274" s="54"/>
      <c r="N274" s="62">
        <v>445003754</v>
      </c>
      <c r="O274" s="56">
        <v>5055252544</v>
      </c>
      <c r="P274" s="44" t="s">
        <v>92</v>
      </c>
      <c r="Q274" s="57">
        <v>69228</v>
      </c>
      <c r="R274" s="58" t="s">
        <v>71</v>
      </c>
      <c r="S274" s="45"/>
      <c r="T274" s="45"/>
      <c r="U274" s="59">
        <v>549004126</v>
      </c>
      <c r="V274" s="58" t="s">
        <v>520</v>
      </c>
      <c r="W274" s="60" t="s">
        <v>89</v>
      </c>
      <c r="X274" s="58" t="s">
        <v>147</v>
      </c>
      <c r="Y274" s="61">
        <f>42296+(6*364)</f>
        <v>44480</v>
      </c>
      <c r="Z274" s="44">
        <f t="shared" ca="1" si="4"/>
        <v>3</v>
      </c>
    </row>
    <row r="275" spans="1:26" x14ac:dyDescent="0.25">
      <c r="A275" s="52" t="s">
        <v>530</v>
      </c>
      <c r="B275" s="52" t="s">
        <v>90</v>
      </c>
      <c r="C275" s="53">
        <v>12834</v>
      </c>
      <c r="D275" s="54">
        <v>102680</v>
      </c>
      <c r="K275" s="54"/>
      <c r="N275" s="62">
        <v>446005905</v>
      </c>
      <c r="O275" s="56">
        <v>9701593705</v>
      </c>
      <c r="P275" s="44" t="s">
        <v>92</v>
      </c>
      <c r="Q275" s="57">
        <v>124026</v>
      </c>
      <c r="R275" s="58" t="s">
        <v>71</v>
      </c>
      <c r="S275" s="45"/>
      <c r="T275" s="45"/>
      <c r="U275" s="59">
        <v>940008237</v>
      </c>
      <c r="V275" s="58" t="s">
        <v>472</v>
      </c>
      <c r="W275" s="60" t="s">
        <v>101</v>
      </c>
      <c r="X275" s="58" t="s">
        <v>173</v>
      </c>
      <c r="Y275" s="61">
        <f>35206+(6*364)</f>
        <v>37390</v>
      </c>
      <c r="Z275" s="44">
        <f t="shared" ca="1" si="4"/>
        <v>22</v>
      </c>
    </row>
    <row r="276" spans="1:26" x14ac:dyDescent="0.25">
      <c r="A276" s="52" t="s">
        <v>532</v>
      </c>
      <c r="B276" s="52" t="s">
        <v>90</v>
      </c>
      <c r="C276" s="53">
        <v>68469</v>
      </c>
      <c r="D276" s="54">
        <v>56905</v>
      </c>
      <c r="K276" s="54"/>
      <c r="N276" s="62">
        <v>448003115</v>
      </c>
      <c r="O276" s="56">
        <v>7192121334</v>
      </c>
      <c r="P276" s="44" t="s">
        <v>76</v>
      </c>
      <c r="Q276" s="57">
        <v>50811</v>
      </c>
      <c r="R276" s="58" t="s">
        <v>71</v>
      </c>
      <c r="S276" s="45"/>
      <c r="T276" s="45"/>
      <c r="U276" s="59">
        <v>184003833</v>
      </c>
      <c r="V276" s="58" t="s">
        <v>523</v>
      </c>
      <c r="W276" s="60" t="s">
        <v>79</v>
      </c>
      <c r="X276" s="58" t="s">
        <v>524</v>
      </c>
      <c r="Y276" s="61">
        <f>35311+(6*364)</f>
        <v>37495</v>
      </c>
      <c r="Z276" s="44">
        <f t="shared" ca="1" si="4"/>
        <v>22</v>
      </c>
    </row>
    <row r="277" spans="1:26" x14ac:dyDescent="0.25">
      <c r="A277" s="52" t="s">
        <v>534</v>
      </c>
      <c r="B277" s="52" t="s">
        <v>90</v>
      </c>
      <c r="C277" s="53">
        <v>67717</v>
      </c>
      <c r="D277" s="54">
        <v>83411</v>
      </c>
      <c r="K277" s="54"/>
      <c r="N277" s="62">
        <v>450008263</v>
      </c>
      <c r="O277" s="56">
        <v>7192969056</v>
      </c>
      <c r="P277" s="44" t="s">
        <v>99</v>
      </c>
      <c r="Q277" s="57">
        <v>108067</v>
      </c>
      <c r="R277" s="58" t="s">
        <v>71</v>
      </c>
      <c r="S277" s="45"/>
      <c r="T277" s="45"/>
      <c r="U277" s="59">
        <v>271004322</v>
      </c>
      <c r="V277" s="58" t="s">
        <v>302</v>
      </c>
      <c r="W277" s="60" t="s">
        <v>154</v>
      </c>
      <c r="X277" s="58" t="s">
        <v>107</v>
      </c>
      <c r="Y277" s="61">
        <f>37043+(6*364)</f>
        <v>39227</v>
      </c>
      <c r="Z277" s="44">
        <f t="shared" ca="1" si="4"/>
        <v>17</v>
      </c>
    </row>
    <row r="278" spans="1:26" x14ac:dyDescent="0.25">
      <c r="A278" s="52" t="s">
        <v>535</v>
      </c>
      <c r="B278" s="52" t="s">
        <v>90</v>
      </c>
      <c r="C278" s="53">
        <v>66455</v>
      </c>
      <c r="D278" s="54">
        <v>97936</v>
      </c>
      <c r="K278" s="54"/>
      <c r="N278" s="62">
        <v>453005250</v>
      </c>
      <c r="O278" s="56">
        <v>9706505454</v>
      </c>
      <c r="P278" s="44"/>
      <c r="Q278" s="57">
        <v>48209</v>
      </c>
      <c r="R278" s="58" t="s">
        <v>87</v>
      </c>
      <c r="S278" s="45"/>
      <c r="T278" s="45"/>
      <c r="U278" s="59">
        <v>488002498</v>
      </c>
      <c r="V278" s="58" t="s">
        <v>527</v>
      </c>
      <c r="W278" s="60" t="s">
        <v>79</v>
      </c>
      <c r="X278" s="58" t="s">
        <v>107</v>
      </c>
      <c r="Y278" s="61">
        <f>39884+(6*364)</f>
        <v>42068</v>
      </c>
      <c r="Z278" s="44">
        <f t="shared" ca="1" si="4"/>
        <v>9</v>
      </c>
    </row>
    <row r="279" spans="1:26" x14ac:dyDescent="0.25">
      <c r="A279" s="52" t="s">
        <v>536</v>
      </c>
      <c r="B279" s="52" t="s">
        <v>90</v>
      </c>
      <c r="C279" s="53">
        <v>53423</v>
      </c>
      <c r="D279" s="54">
        <v>64893</v>
      </c>
      <c r="K279" s="54"/>
      <c r="N279" s="62">
        <v>455008527</v>
      </c>
      <c r="O279" s="56">
        <v>7196525807</v>
      </c>
      <c r="P279" s="44" t="s">
        <v>76</v>
      </c>
      <c r="Q279" s="57">
        <v>44624</v>
      </c>
      <c r="R279" s="58" t="s">
        <v>71</v>
      </c>
      <c r="S279" s="45"/>
      <c r="T279" s="45"/>
      <c r="U279" s="59">
        <v>670006997</v>
      </c>
      <c r="V279" s="58" t="s">
        <v>529</v>
      </c>
      <c r="W279" s="60" t="s">
        <v>84</v>
      </c>
      <c r="X279" s="58" t="s">
        <v>90</v>
      </c>
      <c r="Y279" s="61">
        <f>40245+(6*364)</f>
        <v>42429</v>
      </c>
      <c r="Z279" s="44">
        <f t="shared" ca="1" si="4"/>
        <v>8</v>
      </c>
    </row>
    <row r="280" spans="1:26" x14ac:dyDescent="0.25">
      <c r="A280" s="52" t="s">
        <v>538</v>
      </c>
      <c r="B280" s="52" t="s">
        <v>90</v>
      </c>
      <c r="C280" s="53">
        <v>28688</v>
      </c>
      <c r="D280" s="54">
        <v>99944</v>
      </c>
      <c r="K280" s="54"/>
      <c r="N280" s="62">
        <v>458002691</v>
      </c>
      <c r="O280" s="56">
        <v>5051777060</v>
      </c>
      <c r="P280" s="44" t="s">
        <v>99</v>
      </c>
      <c r="Q280" s="57">
        <v>47285</v>
      </c>
      <c r="R280" s="58" t="s">
        <v>71</v>
      </c>
      <c r="S280" s="45"/>
      <c r="T280" s="45"/>
      <c r="U280" s="59">
        <v>677006328</v>
      </c>
      <c r="V280" s="58" t="s">
        <v>531</v>
      </c>
      <c r="W280" s="60" t="s">
        <v>89</v>
      </c>
      <c r="X280" s="58" t="s">
        <v>104</v>
      </c>
      <c r="Y280" s="61">
        <f>39635+(6*364)</f>
        <v>41819</v>
      </c>
      <c r="Z280" s="44">
        <f t="shared" ca="1" si="4"/>
        <v>10</v>
      </c>
    </row>
    <row r="281" spans="1:26" x14ac:dyDescent="0.25">
      <c r="A281" s="52" t="s">
        <v>540</v>
      </c>
      <c r="B281" s="52" t="s">
        <v>90</v>
      </c>
      <c r="C281" s="53">
        <v>38032</v>
      </c>
      <c r="D281" s="54">
        <v>107147</v>
      </c>
      <c r="K281" s="54"/>
      <c r="N281" s="62">
        <v>459004225</v>
      </c>
      <c r="O281" s="56">
        <v>5058238755</v>
      </c>
      <c r="P281" s="44" t="s">
        <v>99</v>
      </c>
      <c r="Q281" s="57">
        <v>54781</v>
      </c>
      <c r="R281" s="58" t="s">
        <v>71</v>
      </c>
      <c r="S281" s="45"/>
      <c r="T281" s="45"/>
      <c r="U281" s="59">
        <v>737003577</v>
      </c>
      <c r="V281" s="58" t="s">
        <v>533</v>
      </c>
      <c r="W281" s="60" t="s">
        <v>73</v>
      </c>
      <c r="X281" s="58" t="s">
        <v>80</v>
      </c>
      <c r="Y281" s="61">
        <f>35929+(6*364)</f>
        <v>38113</v>
      </c>
      <c r="Z281" s="44">
        <f t="shared" ca="1" si="4"/>
        <v>20</v>
      </c>
    </row>
    <row r="282" spans="1:26" x14ac:dyDescent="0.25">
      <c r="A282" s="52" t="s">
        <v>541</v>
      </c>
      <c r="B282" s="52" t="s">
        <v>90</v>
      </c>
      <c r="C282" s="53">
        <v>79080</v>
      </c>
      <c r="D282" s="54">
        <v>55049</v>
      </c>
      <c r="K282" s="54"/>
      <c r="N282" s="62">
        <v>462007368</v>
      </c>
      <c r="O282" s="56">
        <v>3036718651</v>
      </c>
      <c r="P282" s="44" t="s">
        <v>99</v>
      </c>
      <c r="Q282" s="57">
        <v>119384</v>
      </c>
      <c r="R282" s="58" t="s">
        <v>71</v>
      </c>
      <c r="S282" s="45"/>
      <c r="T282" s="45"/>
      <c r="U282" s="59">
        <v>231005696</v>
      </c>
      <c r="V282" s="58" t="s">
        <v>474</v>
      </c>
      <c r="W282" s="60" t="s">
        <v>73</v>
      </c>
      <c r="X282" s="58" t="s">
        <v>104</v>
      </c>
      <c r="Y282" s="61">
        <f>36661+(6*364)</f>
        <v>38845</v>
      </c>
      <c r="Z282" s="44">
        <f t="shared" ca="1" si="4"/>
        <v>18</v>
      </c>
    </row>
    <row r="283" spans="1:26" x14ac:dyDescent="0.25">
      <c r="A283" s="52" t="s">
        <v>542</v>
      </c>
      <c r="B283" s="52" t="s">
        <v>90</v>
      </c>
      <c r="C283" s="53">
        <v>15091</v>
      </c>
      <c r="D283" s="54">
        <v>95926</v>
      </c>
      <c r="K283" s="54"/>
      <c r="N283" s="62">
        <v>463001277</v>
      </c>
      <c r="O283" s="56">
        <v>3038304204</v>
      </c>
      <c r="P283" s="44"/>
      <c r="Q283" s="57">
        <v>129801</v>
      </c>
      <c r="R283" s="58" t="s">
        <v>109</v>
      </c>
      <c r="S283" s="45"/>
      <c r="T283" s="45"/>
      <c r="U283" s="59">
        <v>488002566</v>
      </c>
      <c r="V283" s="58" t="s">
        <v>475</v>
      </c>
      <c r="W283" s="60" t="s">
        <v>89</v>
      </c>
      <c r="X283" s="58" t="s">
        <v>80</v>
      </c>
      <c r="Y283" s="61">
        <f>36647+(6*364)</f>
        <v>38831</v>
      </c>
      <c r="Z283" s="44">
        <f t="shared" ca="1" si="4"/>
        <v>18</v>
      </c>
    </row>
    <row r="284" spans="1:26" x14ac:dyDescent="0.25">
      <c r="A284" s="52" t="s">
        <v>544</v>
      </c>
      <c r="B284" s="52" t="s">
        <v>90</v>
      </c>
      <c r="C284" s="53">
        <v>62596</v>
      </c>
      <c r="D284" s="54">
        <v>21064</v>
      </c>
      <c r="K284" s="54"/>
      <c r="N284" s="62">
        <v>464001556</v>
      </c>
      <c r="O284" s="56">
        <v>3033542524</v>
      </c>
      <c r="P284" s="44" t="s">
        <v>76</v>
      </c>
      <c r="Q284" s="57">
        <v>125813</v>
      </c>
      <c r="R284" s="58" t="s">
        <v>71</v>
      </c>
      <c r="S284" s="45"/>
      <c r="T284" s="45"/>
      <c r="U284" s="59">
        <v>338009393</v>
      </c>
      <c r="V284" s="58" t="s">
        <v>537</v>
      </c>
      <c r="W284" s="60" t="s">
        <v>154</v>
      </c>
      <c r="X284" s="58" t="s">
        <v>85</v>
      </c>
      <c r="Y284" s="61">
        <f>38295+(6*364)</f>
        <v>40479</v>
      </c>
      <c r="Z284" s="44">
        <f t="shared" ca="1" si="4"/>
        <v>14</v>
      </c>
    </row>
    <row r="285" spans="1:26" x14ac:dyDescent="0.25">
      <c r="A285" s="52" t="s">
        <v>546</v>
      </c>
      <c r="B285" s="52" t="s">
        <v>90</v>
      </c>
      <c r="C285" s="53">
        <v>12730</v>
      </c>
      <c r="D285" s="54">
        <v>116374</v>
      </c>
      <c r="K285" s="54"/>
      <c r="N285" s="62">
        <v>464005175</v>
      </c>
      <c r="O285" s="56">
        <v>9704361873</v>
      </c>
      <c r="P285" s="44" t="s">
        <v>82</v>
      </c>
      <c r="Q285" s="57">
        <v>58562</v>
      </c>
      <c r="R285" s="58" t="s">
        <v>71</v>
      </c>
      <c r="S285" s="45"/>
      <c r="T285" s="45"/>
      <c r="U285" s="59">
        <v>931006967</v>
      </c>
      <c r="V285" s="58" t="s">
        <v>539</v>
      </c>
      <c r="W285" s="60" t="s">
        <v>79</v>
      </c>
      <c r="X285" s="58" t="s">
        <v>104</v>
      </c>
      <c r="Y285" s="61">
        <f>41581+(6*364)</f>
        <v>43765</v>
      </c>
      <c r="Z285" s="44">
        <f t="shared" ca="1" si="4"/>
        <v>5</v>
      </c>
    </row>
    <row r="286" spans="1:26" x14ac:dyDescent="0.25">
      <c r="A286" s="52" t="s">
        <v>548</v>
      </c>
      <c r="B286" s="52" t="s">
        <v>90</v>
      </c>
      <c r="C286" s="53">
        <v>58796</v>
      </c>
      <c r="D286" s="54">
        <v>85536</v>
      </c>
      <c r="K286" s="54"/>
      <c r="N286" s="62">
        <v>466002274</v>
      </c>
      <c r="O286" s="56">
        <v>5058651774</v>
      </c>
      <c r="P286" s="44"/>
      <c r="Q286" s="57">
        <v>34040</v>
      </c>
      <c r="R286" s="58" t="s">
        <v>87</v>
      </c>
      <c r="S286" s="45"/>
      <c r="T286" s="45"/>
      <c r="U286" s="59">
        <v>357003095</v>
      </c>
      <c r="V286" s="58" t="s">
        <v>320</v>
      </c>
      <c r="W286" s="60" t="s">
        <v>79</v>
      </c>
      <c r="X286" s="58" t="s">
        <v>80</v>
      </c>
      <c r="Y286" s="61">
        <f>35744+(6*364)</f>
        <v>37928</v>
      </c>
      <c r="Z286" s="44">
        <f t="shared" ca="1" si="4"/>
        <v>21</v>
      </c>
    </row>
    <row r="287" spans="1:26" x14ac:dyDescent="0.25">
      <c r="A287" s="52" t="s">
        <v>549</v>
      </c>
      <c r="B287" s="52" t="s">
        <v>90</v>
      </c>
      <c r="C287" s="53">
        <v>55543</v>
      </c>
      <c r="D287" s="54">
        <v>100074</v>
      </c>
      <c r="K287" s="54"/>
      <c r="N287" s="62">
        <v>469000778</v>
      </c>
      <c r="O287" s="56">
        <v>7197091949</v>
      </c>
      <c r="P287" s="44"/>
      <c r="Q287" s="57">
        <v>94988</v>
      </c>
      <c r="R287" s="58" t="s">
        <v>109</v>
      </c>
      <c r="S287" s="45"/>
      <c r="T287" s="45"/>
      <c r="U287" s="59">
        <v>787005821</v>
      </c>
      <c r="V287" s="58" t="s">
        <v>477</v>
      </c>
      <c r="W287" s="60" t="s">
        <v>101</v>
      </c>
      <c r="X287" s="58" t="s">
        <v>96</v>
      </c>
      <c r="Y287" s="61">
        <f>39328+(6*364)</f>
        <v>41512</v>
      </c>
      <c r="Z287" s="44">
        <f t="shared" ca="1" si="4"/>
        <v>11</v>
      </c>
    </row>
    <row r="288" spans="1:26" x14ac:dyDescent="0.25">
      <c r="A288" s="52" t="s">
        <v>550</v>
      </c>
      <c r="B288" s="52" t="s">
        <v>90</v>
      </c>
      <c r="C288" s="53">
        <v>65118</v>
      </c>
      <c r="D288" s="54">
        <v>69150</v>
      </c>
      <c r="K288" s="54"/>
      <c r="N288" s="62">
        <v>469007161</v>
      </c>
      <c r="O288" s="56">
        <v>7196844371</v>
      </c>
      <c r="P288" s="44" t="s">
        <v>92</v>
      </c>
      <c r="Q288" s="57">
        <v>110354</v>
      </c>
      <c r="R288" s="58" t="s">
        <v>71</v>
      </c>
      <c r="S288" s="45"/>
      <c r="T288" s="45"/>
      <c r="U288" s="59">
        <v>425008999</v>
      </c>
      <c r="V288" s="58" t="s">
        <v>543</v>
      </c>
      <c r="W288" s="60" t="s">
        <v>84</v>
      </c>
      <c r="X288" s="58" t="s">
        <v>90</v>
      </c>
      <c r="Y288" s="61">
        <f>37285+(6*364)</f>
        <v>39469</v>
      </c>
      <c r="Z288" s="44">
        <f t="shared" ca="1" si="4"/>
        <v>17</v>
      </c>
    </row>
    <row r="289" spans="1:26" x14ac:dyDescent="0.25">
      <c r="A289" s="52" t="s">
        <v>551</v>
      </c>
      <c r="B289" s="52" t="s">
        <v>90</v>
      </c>
      <c r="C289" s="53">
        <v>43692</v>
      </c>
      <c r="D289" s="54">
        <v>116020</v>
      </c>
      <c r="K289" s="54"/>
      <c r="N289" s="62">
        <v>469009877</v>
      </c>
      <c r="O289" s="56">
        <v>7196966637</v>
      </c>
      <c r="P289" s="44" t="s">
        <v>99</v>
      </c>
      <c r="Q289" s="57">
        <v>89224</v>
      </c>
      <c r="R289" s="58" t="s">
        <v>71</v>
      </c>
      <c r="S289" s="45"/>
      <c r="T289" s="45"/>
      <c r="U289" s="59">
        <v>810006760</v>
      </c>
      <c r="V289" s="58" t="s">
        <v>545</v>
      </c>
      <c r="W289" s="60" t="s">
        <v>73</v>
      </c>
      <c r="X289" s="58" t="s">
        <v>104</v>
      </c>
      <c r="Y289" s="61">
        <f>38619+(6*364)</f>
        <v>40803</v>
      </c>
      <c r="Z289" s="44">
        <f t="shared" ca="1" si="4"/>
        <v>13</v>
      </c>
    </row>
    <row r="290" spans="1:26" x14ac:dyDescent="0.25">
      <c r="A290" s="52" t="s">
        <v>552</v>
      </c>
      <c r="B290" s="52" t="s">
        <v>90</v>
      </c>
      <c r="C290" s="53">
        <v>85293</v>
      </c>
      <c r="D290" s="54">
        <v>90164</v>
      </c>
      <c r="K290" s="54"/>
      <c r="N290" s="62">
        <v>472002901</v>
      </c>
      <c r="O290" s="56">
        <v>5057317354</v>
      </c>
      <c r="P290" s="44" t="s">
        <v>70</v>
      </c>
      <c r="Q290" s="57">
        <v>129301</v>
      </c>
      <c r="R290" s="58" t="s">
        <v>71</v>
      </c>
      <c r="S290" s="45"/>
      <c r="T290" s="45"/>
      <c r="U290" s="59">
        <v>856007520</v>
      </c>
      <c r="V290" s="58" t="s">
        <v>547</v>
      </c>
      <c r="W290" s="60" t="s">
        <v>73</v>
      </c>
      <c r="X290" s="58" t="s">
        <v>107</v>
      </c>
      <c r="Y290" s="61">
        <f>36575+(6*364)</f>
        <v>38759</v>
      </c>
      <c r="Z290" s="44">
        <f t="shared" ca="1" si="4"/>
        <v>19</v>
      </c>
    </row>
    <row r="291" spans="1:26" x14ac:dyDescent="0.25">
      <c r="A291" s="52" t="s">
        <v>555</v>
      </c>
      <c r="B291" s="52" t="s">
        <v>90</v>
      </c>
      <c r="C291" s="53">
        <v>48134</v>
      </c>
      <c r="D291" s="54">
        <v>63809</v>
      </c>
      <c r="K291" s="54"/>
      <c r="N291" s="62">
        <v>475007086</v>
      </c>
      <c r="O291" s="56">
        <v>3031673267</v>
      </c>
      <c r="P291" s="44" t="s">
        <v>76</v>
      </c>
      <c r="Q291" s="57">
        <v>127874</v>
      </c>
      <c r="R291" s="58" t="s">
        <v>71</v>
      </c>
      <c r="S291" s="45"/>
      <c r="T291" s="45"/>
      <c r="U291" s="59">
        <v>313001602</v>
      </c>
      <c r="V291" s="58" t="s">
        <v>414</v>
      </c>
      <c r="W291" s="60" t="s">
        <v>89</v>
      </c>
      <c r="X291" s="58" t="s">
        <v>173</v>
      </c>
      <c r="Y291" s="61">
        <f>36678+(6*364)</f>
        <v>38862</v>
      </c>
      <c r="Z291" s="44">
        <f t="shared" ca="1" si="4"/>
        <v>18</v>
      </c>
    </row>
    <row r="292" spans="1:26" x14ac:dyDescent="0.25">
      <c r="A292" s="52" t="s">
        <v>557</v>
      </c>
      <c r="B292" s="52" t="s">
        <v>90</v>
      </c>
      <c r="C292" s="53">
        <v>39550</v>
      </c>
      <c r="D292" s="54">
        <v>75509</v>
      </c>
      <c r="K292" s="54"/>
      <c r="N292" s="62">
        <v>476000694</v>
      </c>
      <c r="O292" s="56">
        <v>9702551469</v>
      </c>
      <c r="P292" s="44" t="s">
        <v>82</v>
      </c>
      <c r="Q292" s="57">
        <v>49526</v>
      </c>
      <c r="R292" s="58" t="s">
        <v>77</v>
      </c>
      <c r="S292" s="45"/>
      <c r="T292" s="45"/>
      <c r="U292" s="59">
        <v>469009877</v>
      </c>
      <c r="V292" s="58" t="s">
        <v>479</v>
      </c>
      <c r="W292" s="60" t="s">
        <v>101</v>
      </c>
      <c r="X292" s="58" t="s">
        <v>176</v>
      </c>
      <c r="Y292" s="61">
        <f>39331+(6*364)</f>
        <v>41515</v>
      </c>
      <c r="Z292" s="44">
        <f t="shared" ca="1" si="4"/>
        <v>11</v>
      </c>
    </row>
    <row r="293" spans="1:26" x14ac:dyDescent="0.25">
      <c r="A293" s="52" t="s">
        <v>559</v>
      </c>
      <c r="B293" s="52" t="s">
        <v>90</v>
      </c>
      <c r="C293" s="53">
        <v>26782</v>
      </c>
      <c r="D293" s="54">
        <v>111150</v>
      </c>
      <c r="K293" s="54"/>
      <c r="N293" s="62">
        <v>479000468</v>
      </c>
      <c r="O293" s="56">
        <v>7197560634</v>
      </c>
      <c r="P293" s="44"/>
      <c r="Q293" s="57">
        <v>49147</v>
      </c>
      <c r="R293" s="58" t="s">
        <v>87</v>
      </c>
      <c r="S293" s="45"/>
      <c r="T293" s="45"/>
      <c r="U293" s="59">
        <v>997002517</v>
      </c>
      <c r="V293" s="58" t="s">
        <v>481</v>
      </c>
      <c r="W293" s="60" t="s">
        <v>101</v>
      </c>
      <c r="X293" s="58" t="s">
        <v>107</v>
      </c>
      <c r="Y293" s="61">
        <f>37121+(6*364)</f>
        <v>39305</v>
      </c>
      <c r="Z293" s="44">
        <f t="shared" ca="1" si="4"/>
        <v>17</v>
      </c>
    </row>
    <row r="294" spans="1:26" x14ac:dyDescent="0.25">
      <c r="A294" s="52" t="s">
        <v>560</v>
      </c>
      <c r="B294" s="52" t="s">
        <v>90</v>
      </c>
      <c r="C294" s="53">
        <v>71737</v>
      </c>
      <c r="D294" s="54">
        <v>61888</v>
      </c>
      <c r="K294" s="54"/>
      <c r="N294" s="62">
        <v>479004243</v>
      </c>
      <c r="O294" s="56">
        <v>3036593848</v>
      </c>
      <c r="P294" s="44" t="s">
        <v>92</v>
      </c>
      <c r="Q294" s="57">
        <v>129253</v>
      </c>
      <c r="R294" s="58" t="s">
        <v>71</v>
      </c>
      <c r="S294" s="45"/>
      <c r="T294" s="45"/>
      <c r="U294" s="59">
        <v>787007811</v>
      </c>
      <c r="V294" s="58" t="s">
        <v>482</v>
      </c>
      <c r="W294" s="60" t="s">
        <v>84</v>
      </c>
      <c r="X294" s="58" t="s">
        <v>90</v>
      </c>
      <c r="Y294" s="61">
        <f>39823+(6*364)</f>
        <v>42007</v>
      </c>
      <c r="Z294" s="44">
        <f t="shared" ca="1" si="4"/>
        <v>10</v>
      </c>
    </row>
    <row r="295" spans="1:26" x14ac:dyDescent="0.25">
      <c r="A295" s="52" t="s">
        <v>562</v>
      </c>
      <c r="B295" s="52" t="s">
        <v>90</v>
      </c>
      <c r="C295" s="53">
        <v>64402</v>
      </c>
      <c r="D295" s="54">
        <v>109592</v>
      </c>
      <c r="K295" s="54"/>
      <c r="N295" s="62">
        <v>479004781</v>
      </c>
      <c r="O295" s="56">
        <v>7192064219</v>
      </c>
      <c r="P295" s="44" t="s">
        <v>553</v>
      </c>
      <c r="Q295" s="57">
        <v>65377</v>
      </c>
      <c r="R295" s="58" t="s">
        <v>71</v>
      </c>
      <c r="S295" s="45"/>
      <c r="T295" s="45"/>
      <c r="U295" s="59">
        <v>117000499</v>
      </c>
      <c r="V295" s="58" t="s">
        <v>554</v>
      </c>
      <c r="W295" s="60" t="s">
        <v>73</v>
      </c>
      <c r="X295" s="58" t="s">
        <v>90</v>
      </c>
      <c r="Y295" s="61">
        <f>37450+(6*364)</f>
        <v>39634</v>
      </c>
      <c r="Z295" s="44">
        <f t="shared" ca="1" si="4"/>
        <v>16</v>
      </c>
    </row>
    <row r="296" spans="1:26" x14ac:dyDescent="0.25">
      <c r="A296" s="52" t="s">
        <v>564</v>
      </c>
      <c r="B296" s="52" t="s">
        <v>90</v>
      </c>
      <c r="C296" s="53">
        <v>24091</v>
      </c>
      <c r="D296" s="54">
        <v>134332</v>
      </c>
      <c r="K296" s="54"/>
      <c r="N296" s="62">
        <v>483008807</v>
      </c>
      <c r="O296" s="56">
        <v>7192338778</v>
      </c>
      <c r="P296" s="44"/>
      <c r="Q296" s="57">
        <v>91184</v>
      </c>
      <c r="R296" s="58" t="s">
        <v>109</v>
      </c>
      <c r="S296" s="45"/>
      <c r="T296" s="45"/>
      <c r="U296" s="59">
        <v>223009864</v>
      </c>
      <c r="V296" s="58" t="s">
        <v>556</v>
      </c>
      <c r="W296" s="60" t="s">
        <v>73</v>
      </c>
      <c r="X296" s="58" t="s">
        <v>90</v>
      </c>
      <c r="Y296" s="61">
        <f>36805+(6*364)</f>
        <v>38989</v>
      </c>
      <c r="Z296" s="44">
        <f t="shared" ca="1" si="4"/>
        <v>18</v>
      </c>
    </row>
    <row r="297" spans="1:26" x14ac:dyDescent="0.25">
      <c r="A297" s="52" t="s">
        <v>565</v>
      </c>
      <c r="B297" s="52" t="s">
        <v>90</v>
      </c>
      <c r="C297" s="53">
        <v>59443</v>
      </c>
      <c r="D297" s="54">
        <v>66369</v>
      </c>
      <c r="K297" s="54"/>
      <c r="N297" s="62">
        <v>488002498</v>
      </c>
      <c r="O297" s="56">
        <v>7193962015</v>
      </c>
      <c r="P297" s="44" t="s">
        <v>99</v>
      </c>
      <c r="Q297" s="57">
        <v>123061</v>
      </c>
      <c r="R297" s="58" t="s">
        <v>71</v>
      </c>
      <c r="S297" s="45"/>
      <c r="T297" s="45"/>
      <c r="U297" s="59">
        <v>312006705</v>
      </c>
      <c r="V297" s="58" t="s">
        <v>558</v>
      </c>
      <c r="W297" s="60" t="s">
        <v>101</v>
      </c>
      <c r="X297" s="58" t="s">
        <v>107</v>
      </c>
      <c r="Y297" s="61">
        <f>42499+(6*364)</f>
        <v>44683</v>
      </c>
      <c r="Z297" s="44">
        <f t="shared" ca="1" si="4"/>
        <v>2</v>
      </c>
    </row>
    <row r="298" spans="1:26" x14ac:dyDescent="0.25">
      <c r="A298" s="52" t="s">
        <v>566</v>
      </c>
      <c r="B298" s="52" t="s">
        <v>90</v>
      </c>
      <c r="C298" s="53">
        <v>55523</v>
      </c>
      <c r="D298" s="54">
        <v>66195</v>
      </c>
      <c r="K298" s="54"/>
      <c r="N298" s="62">
        <v>488002566</v>
      </c>
      <c r="O298" s="56">
        <v>5051525844</v>
      </c>
      <c r="P298" s="44"/>
      <c r="Q298" s="57">
        <v>48982</v>
      </c>
      <c r="R298" s="58" t="s">
        <v>87</v>
      </c>
      <c r="S298" s="45"/>
      <c r="T298" s="45"/>
      <c r="U298" s="59">
        <v>104001197</v>
      </c>
      <c r="V298" s="58" t="s">
        <v>27</v>
      </c>
      <c r="W298" s="60" t="s">
        <v>89</v>
      </c>
      <c r="X298" s="58" t="s">
        <v>173</v>
      </c>
      <c r="Y298" s="61">
        <f>37612+(6*364)</f>
        <v>39796</v>
      </c>
      <c r="Z298" s="44">
        <f t="shared" ca="1" si="4"/>
        <v>16</v>
      </c>
    </row>
    <row r="299" spans="1:26" x14ac:dyDescent="0.25">
      <c r="A299" s="52" t="s">
        <v>568</v>
      </c>
      <c r="B299" s="52" t="s">
        <v>90</v>
      </c>
      <c r="C299" s="53">
        <v>29471</v>
      </c>
      <c r="D299" s="54">
        <v>64362</v>
      </c>
      <c r="K299" s="54"/>
      <c r="N299" s="62">
        <v>488004083</v>
      </c>
      <c r="O299" s="56">
        <v>5051847141</v>
      </c>
      <c r="P299" s="44"/>
      <c r="Q299" s="57">
        <v>48289</v>
      </c>
      <c r="R299" s="58" t="s">
        <v>87</v>
      </c>
      <c r="S299" s="45"/>
      <c r="T299" s="45"/>
      <c r="U299" s="59">
        <v>560005309</v>
      </c>
      <c r="V299" s="58" t="s">
        <v>561</v>
      </c>
      <c r="W299" s="60" t="s">
        <v>101</v>
      </c>
      <c r="X299" s="58" t="s">
        <v>107</v>
      </c>
      <c r="Y299" s="61">
        <f>35602+(6*364)</f>
        <v>37786</v>
      </c>
      <c r="Z299" s="44">
        <f t="shared" ca="1" si="4"/>
        <v>21</v>
      </c>
    </row>
    <row r="300" spans="1:26" x14ac:dyDescent="0.25">
      <c r="A300" s="52" t="s">
        <v>569</v>
      </c>
      <c r="B300" s="52" t="s">
        <v>90</v>
      </c>
      <c r="C300" s="53">
        <v>36484</v>
      </c>
      <c r="D300" s="54">
        <v>95475</v>
      </c>
      <c r="K300" s="54"/>
      <c r="N300" s="62">
        <v>489000323</v>
      </c>
      <c r="O300" s="56">
        <v>5058082183</v>
      </c>
      <c r="P300" s="44" t="s">
        <v>92</v>
      </c>
      <c r="Q300" s="57">
        <v>56919</v>
      </c>
      <c r="R300" s="58" t="s">
        <v>71</v>
      </c>
      <c r="S300" s="45"/>
      <c r="T300" s="45"/>
      <c r="U300" s="59">
        <v>432006414</v>
      </c>
      <c r="V300" s="58" t="s">
        <v>563</v>
      </c>
      <c r="W300" s="60" t="s">
        <v>79</v>
      </c>
      <c r="X300" s="58" t="s">
        <v>19</v>
      </c>
      <c r="Y300" s="61">
        <f>40341+(6*364)</f>
        <v>42525</v>
      </c>
      <c r="Z300" s="44">
        <f t="shared" ca="1" si="4"/>
        <v>8</v>
      </c>
    </row>
    <row r="301" spans="1:26" x14ac:dyDescent="0.25">
      <c r="A301" s="52" t="s">
        <v>570</v>
      </c>
      <c r="B301" s="52" t="s">
        <v>90</v>
      </c>
      <c r="C301" s="53">
        <v>67189</v>
      </c>
      <c r="D301" s="54">
        <v>106609</v>
      </c>
      <c r="K301" s="54"/>
      <c r="N301" s="62">
        <v>490005392</v>
      </c>
      <c r="O301" s="56">
        <v>9702891217</v>
      </c>
      <c r="P301" s="44" t="s">
        <v>99</v>
      </c>
      <c r="Q301" s="57">
        <v>57934</v>
      </c>
      <c r="R301" s="58" t="s">
        <v>71</v>
      </c>
      <c r="S301" s="45"/>
      <c r="T301" s="45"/>
      <c r="U301" s="59">
        <v>283008404</v>
      </c>
      <c r="V301" s="58" t="s">
        <v>484</v>
      </c>
      <c r="W301" s="60" t="s">
        <v>89</v>
      </c>
      <c r="X301" s="58" t="s">
        <v>90</v>
      </c>
      <c r="Y301" s="61">
        <f>37273+(6*364)</f>
        <v>39457</v>
      </c>
      <c r="Z301" s="44">
        <f t="shared" ca="1" si="4"/>
        <v>17</v>
      </c>
    </row>
    <row r="302" spans="1:26" x14ac:dyDescent="0.25">
      <c r="A302" s="52" t="s">
        <v>572</v>
      </c>
      <c r="B302" s="52" t="s">
        <v>90</v>
      </c>
      <c r="C302" s="53">
        <v>82620</v>
      </c>
      <c r="D302" s="54">
        <v>118067</v>
      </c>
      <c r="K302" s="54"/>
      <c r="N302" s="62">
        <v>490005610</v>
      </c>
      <c r="O302" s="56">
        <v>7192344526</v>
      </c>
      <c r="P302" s="44" t="s">
        <v>76</v>
      </c>
      <c r="Q302" s="57">
        <v>76162</v>
      </c>
      <c r="R302" s="58" t="s">
        <v>71</v>
      </c>
      <c r="S302" s="45"/>
      <c r="T302" s="45"/>
      <c r="U302" s="59">
        <v>603000433</v>
      </c>
      <c r="V302" s="58" t="s">
        <v>105</v>
      </c>
      <c r="W302" s="60" t="s">
        <v>89</v>
      </c>
      <c r="X302" s="58" t="s">
        <v>90</v>
      </c>
      <c r="Y302" s="61">
        <f>35645+(6*364)</f>
        <v>37829</v>
      </c>
      <c r="Z302" s="44">
        <f t="shared" ca="1" si="4"/>
        <v>21</v>
      </c>
    </row>
    <row r="303" spans="1:26" x14ac:dyDescent="0.25">
      <c r="A303" s="52" t="s">
        <v>574</v>
      </c>
      <c r="B303" s="52" t="s">
        <v>90</v>
      </c>
      <c r="C303" s="53">
        <v>61596</v>
      </c>
      <c r="D303" s="54">
        <v>102257</v>
      </c>
      <c r="K303" s="54"/>
      <c r="N303" s="62">
        <v>491005757</v>
      </c>
      <c r="O303" s="56">
        <v>9707726916</v>
      </c>
      <c r="P303" s="44" t="s">
        <v>99</v>
      </c>
      <c r="Q303" s="57">
        <v>45328</v>
      </c>
      <c r="R303" s="58" t="s">
        <v>71</v>
      </c>
      <c r="S303" s="45"/>
      <c r="T303" s="45"/>
      <c r="U303" s="59">
        <v>749002975</v>
      </c>
      <c r="V303" s="58" t="s">
        <v>567</v>
      </c>
      <c r="W303" s="60" t="s">
        <v>101</v>
      </c>
      <c r="X303" s="58" t="s">
        <v>94</v>
      </c>
      <c r="Y303" s="61">
        <f>37623+(6*364)</f>
        <v>39807</v>
      </c>
      <c r="Z303" s="44">
        <f t="shared" ca="1" si="4"/>
        <v>16</v>
      </c>
    </row>
    <row r="304" spans="1:26" x14ac:dyDescent="0.25">
      <c r="A304" s="52" t="s">
        <v>575</v>
      </c>
      <c r="B304" s="52" t="s">
        <v>90</v>
      </c>
      <c r="C304" s="53">
        <v>40103</v>
      </c>
      <c r="D304" s="54">
        <v>65876</v>
      </c>
      <c r="K304" s="54"/>
      <c r="N304" s="62">
        <v>491006485</v>
      </c>
      <c r="O304" s="56">
        <v>5058033253</v>
      </c>
      <c r="P304" s="44" t="s">
        <v>76</v>
      </c>
      <c r="Q304" s="57">
        <v>60087</v>
      </c>
      <c r="R304" s="58" t="s">
        <v>77</v>
      </c>
      <c r="S304" s="45"/>
      <c r="T304" s="45"/>
      <c r="U304" s="59">
        <v>740000904</v>
      </c>
      <c r="V304" s="58" t="s">
        <v>486</v>
      </c>
      <c r="W304" s="60" t="s">
        <v>89</v>
      </c>
      <c r="X304" s="58" t="s">
        <v>159</v>
      </c>
      <c r="Y304" s="61">
        <f>39037+(6*364)</f>
        <v>41221</v>
      </c>
      <c r="Z304" s="44">
        <f t="shared" ca="1" si="4"/>
        <v>12</v>
      </c>
    </row>
    <row r="305" spans="1:26" x14ac:dyDescent="0.25">
      <c r="A305" s="52" t="s">
        <v>576</v>
      </c>
      <c r="B305" s="52" t="s">
        <v>90</v>
      </c>
      <c r="C305" s="53">
        <v>18019</v>
      </c>
      <c r="D305" s="54">
        <v>92959</v>
      </c>
      <c r="K305" s="54"/>
      <c r="N305" s="62">
        <v>492007833</v>
      </c>
      <c r="O305" s="56">
        <v>3033184277</v>
      </c>
      <c r="P305" s="44" t="s">
        <v>99</v>
      </c>
      <c r="Q305" s="57">
        <v>84225</v>
      </c>
      <c r="R305" s="58" t="s">
        <v>71</v>
      </c>
      <c r="S305" s="45"/>
      <c r="T305" s="45"/>
      <c r="U305" s="59">
        <v>845000075</v>
      </c>
      <c r="V305" s="58" t="s">
        <v>488</v>
      </c>
      <c r="W305" s="60" t="s">
        <v>101</v>
      </c>
      <c r="X305" s="58" t="s">
        <v>80</v>
      </c>
      <c r="Y305" s="61">
        <f>38767+(6*364)</f>
        <v>40951</v>
      </c>
      <c r="Z305" s="44">
        <f t="shared" ca="1" si="4"/>
        <v>13</v>
      </c>
    </row>
    <row r="306" spans="1:26" x14ac:dyDescent="0.25">
      <c r="A306" s="52" t="s">
        <v>578</v>
      </c>
      <c r="B306" s="52" t="s">
        <v>90</v>
      </c>
      <c r="C306" s="53">
        <v>88922</v>
      </c>
      <c r="D306" s="54">
        <v>123520</v>
      </c>
      <c r="K306" s="54"/>
      <c r="N306" s="62">
        <v>493003141</v>
      </c>
      <c r="O306" s="56">
        <v>3038842613</v>
      </c>
      <c r="P306" s="44"/>
      <c r="Q306" s="57">
        <v>31462</v>
      </c>
      <c r="R306" s="58" t="s">
        <v>87</v>
      </c>
      <c r="S306" s="45"/>
      <c r="T306" s="45"/>
      <c r="U306" s="59">
        <v>696001638</v>
      </c>
      <c r="V306" s="58" t="s">
        <v>571</v>
      </c>
      <c r="W306" s="60" t="s">
        <v>79</v>
      </c>
      <c r="X306" s="58" t="s">
        <v>137</v>
      </c>
      <c r="Y306" s="61">
        <f>38543+(6*364)</f>
        <v>40727</v>
      </c>
      <c r="Z306" s="44">
        <f t="shared" ca="1" si="4"/>
        <v>13</v>
      </c>
    </row>
    <row r="307" spans="1:26" x14ac:dyDescent="0.25">
      <c r="A307" s="52" t="s">
        <v>605</v>
      </c>
      <c r="B307" s="52" t="s">
        <v>90</v>
      </c>
      <c r="C307" s="53">
        <v>34019</v>
      </c>
      <c r="D307" s="54">
        <v>79366</v>
      </c>
      <c r="K307" s="54"/>
      <c r="N307" s="62">
        <v>495001952</v>
      </c>
      <c r="O307" s="56">
        <v>9706500529</v>
      </c>
      <c r="P307" s="44" t="s">
        <v>82</v>
      </c>
      <c r="Q307" s="57">
        <v>93587</v>
      </c>
      <c r="R307" s="58" t="s">
        <v>71</v>
      </c>
      <c r="S307" s="45"/>
      <c r="T307" s="45"/>
      <c r="U307" s="59">
        <v>652005846</v>
      </c>
      <c r="V307" s="58" t="s">
        <v>573</v>
      </c>
      <c r="W307" s="60" t="s">
        <v>73</v>
      </c>
      <c r="X307" s="58" t="s">
        <v>80</v>
      </c>
      <c r="Y307" s="61">
        <f>35068+(6*364)</f>
        <v>37252</v>
      </c>
      <c r="Z307" s="44">
        <f t="shared" ca="1" si="4"/>
        <v>23</v>
      </c>
    </row>
    <row r="308" spans="1:26" x14ac:dyDescent="0.25">
      <c r="A308" s="52" t="s">
        <v>606</v>
      </c>
      <c r="B308" s="52" t="s">
        <v>90</v>
      </c>
      <c r="C308" s="53">
        <v>97603</v>
      </c>
      <c r="D308" s="54">
        <v>78712</v>
      </c>
      <c r="K308" s="54"/>
      <c r="N308" s="62">
        <v>496002387</v>
      </c>
      <c r="O308" s="56">
        <v>3031952821</v>
      </c>
      <c r="P308" s="44" t="s">
        <v>92</v>
      </c>
      <c r="Q308" s="57">
        <v>36186</v>
      </c>
      <c r="R308" s="58" t="s">
        <v>71</v>
      </c>
      <c r="S308" s="45"/>
      <c r="T308" s="45"/>
      <c r="U308" s="59">
        <v>942002169</v>
      </c>
      <c r="V308" s="58" t="s">
        <v>489</v>
      </c>
      <c r="W308" s="60" t="s">
        <v>73</v>
      </c>
      <c r="X308" s="58" t="s">
        <v>90</v>
      </c>
      <c r="Y308" s="61">
        <f>37856+(6*364)</f>
        <v>40040</v>
      </c>
      <c r="Z308" s="44">
        <f t="shared" ca="1" si="4"/>
        <v>15</v>
      </c>
    </row>
    <row r="309" spans="1:26" x14ac:dyDescent="0.25">
      <c r="A309" s="52" t="s">
        <v>608</v>
      </c>
      <c r="B309" s="52" t="s">
        <v>90</v>
      </c>
      <c r="C309" s="53">
        <v>15496</v>
      </c>
      <c r="D309" s="54">
        <v>135904</v>
      </c>
      <c r="K309" s="54"/>
      <c r="N309" s="62">
        <v>497004015</v>
      </c>
      <c r="O309" s="56">
        <v>5055627374</v>
      </c>
      <c r="P309" s="44"/>
      <c r="Q309" s="57">
        <v>94760</v>
      </c>
      <c r="R309" s="58" t="s">
        <v>87</v>
      </c>
      <c r="S309" s="45"/>
      <c r="T309" s="45"/>
      <c r="U309" s="59">
        <v>559006477</v>
      </c>
      <c r="V309" s="58" t="s">
        <v>322</v>
      </c>
      <c r="W309" s="60" t="s">
        <v>89</v>
      </c>
      <c r="X309" s="58" t="s">
        <v>173</v>
      </c>
      <c r="Y309" s="61">
        <f>37730+(6*364)</f>
        <v>39914</v>
      </c>
      <c r="Z309" s="44">
        <f t="shared" ca="1" si="4"/>
        <v>15</v>
      </c>
    </row>
    <row r="310" spans="1:26" x14ac:dyDescent="0.25">
      <c r="A310" s="52" t="s">
        <v>610</v>
      </c>
      <c r="B310" s="52" t="s">
        <v>90</v>
      </c>
      <c r="C310" s="53">
        <v>83949</v>
      </c>
      <c r="D310" s="54">
        <v>61683</v>
      </c>
      <c r="K310" s="54"/>
      <c r="N310" s="62">
        <v>501005712</v>
      </c>
      <c r="O310" s="56">
        <v>7198611970</v>
      </c>
      <c r="P310" s="44" t="s">
        <v>70</v>
      </c>
      <c r="Q310" s="57">
        <v>107231</v>
      </c>
      <c r="R310" s="58" t="s">
        <v>77</v>
      </c>
      <c r="S310" s="45"/>
      <c r="T310" s="45"/>
      <c r="U310" s="59">
        <v>648004651</v>
      </c>
      <c r="V310" s="58" t="s">
        <v>577</v>
      </c>
      <c r="W310" s="60" t="s">
        <v>101</v>
      </c>
      <c r="X310" s="58" t="s">
        <v>90</v>
      </c>
      <c r="Y310" s="61">
        <f>37725+(6*364)</f>
        <v>39909</v>
      </c>
      <c r="Z310" s="44">
        <f t="shared" ca="1" si="4"/>
        <v>15</v>
      </c>
    </row>
    <row r="311" spans="1:26" x14ac:dyDescent="0.25">
      <c r="A311" s="52" t="s">
        <v>26</v>
      </c>
      <c r="B311" s="52" t="s">
        <v>90</v>
      </c>
      <c r="C311" s="53">
        <v>64364</v>
      </c>
      <c r="D311" s="54">
        <v>63701</v>
      </c>
      <c r="K311" s="54"/>
      <c r="N311" s="62">
        <v>503001546</v>
      </c>
      <c r="O311" s="56">
        <v>3035990139</v>
      </c>
      <c r="P311" s="44"/>
      <c r="Q311" s="57">
        <v>65245</v>
      </c>
      <c r="R311" s="58" t="s">
        <v>87</v>
      </c>
      <c r="S311" s="45"/>
      <c r="T311" s="45"/>
      <c r="U311" s="59">
        <v>538009396</v>
      </c>
      <c r="V311" s="58" t="s">
        <v>579</v>
      </c>
      <c r="W311" s="60" t="s">
        <v>84</v>
      </c>
      <c r="X311" s="58" t="s">
        <v>159</v>
      </c>
      <c r="Y311" s="61">
        <f>37411+(6*364)</f>
        <v>39595</v>
      </c>
      <c r="Z311" s="44">
        <f t="shared" ca="1" si="4"/>
        <v>16</v>
      </c>
    </row>
    <row r="312" spans="1:26" x14ac:dyDescent="0.25">
      <c r="A312" s="52" t="s">
        <v>613</v>
      </c>
      <c r="B312" s="52" t="s">
        <v>90</v>
      </c>
      <c r="C312" s="53">
        <v>68860</v>
      </c>
      <c r="D312" s="54">
        <v>70386</v>
      </c>
      <c r="K312" s="54"/>
      <c r="N312" s="62">
        <v>505004105</v>
      </c>
      <c r="O312" s="56">
        <v>7192053579</v>
      </c>
      <c r="P312" s="44"/>
      <c r="Q312" s="57">
        <v>94265</v>
      </c>
      <c r="R312" s="58" t="s">
        <v>87</v>
      </c>
      <c r="S312" s="45"/>
      <c r="T312" s="45"/>
      <c r="U312" s="59">
        <v>102007610</v>
      </c>
      <c r="V312" s="58" t="s">
        <v>581</v>
      </c>
      <c r="W312" s="60" t="s">
        <v>89</v>
      </c>
      <c r="X312" s="58" t="s">
        <v>90</v>
      </c>
      <c r="Y312" s="61">
        <f>38427+(6*364)</f>
        <v>40611</v>
      </c>
      <c r="Z312" s="44">
        <f t="shared" ca="1" si="4"/>
        <v>13</v>
      </c>
    </row>
    <row r="313" spans="1:26" x14ac:dyDescent="0.25">
      <c r="A313" s="52" t="s">
        <v>615</v>
      </c>
      <c r="B313" s="52" t="s">
        <v>90</v>
      </c>
      <c r="C313" s="53">
        <v>87503</v>
      </c>
      <c r="D313" s="54">
        <v>71026</v>
      </c>
      <c r="K313" s="54"/>
      <c r="N313" s="62">
        <v>506007672</v>
      </c>
      <c r="O313" s="56">
        <v>9708467597</v>
      </c>
      <c r="P313" s="44"/>
      <c r="Q313" s="57">
        <v>27707</v>
      </c>
      <c r="R313" s="58" t="s">
        <v>87</v>
      </c>
      <c r="S313" s="45"/>
      <c r="T313" s="45"/>
      <c r="U313" s="59">
        <v>124007460</v>
      </c>
      <c r="V313" s="58" t="s">
        <v>582</v>
      </c>
      <c r="W313" s="60" t="s">
        <v>79</v>
      </c>
      <c r="X313" s="58" t="s">
        <v>104</v>
      </c>
      <c r="Y313" s="61">
        <f>35560+(6*364)</f>
        <v>37744</v>
      </c>
      <c r="Z313" s="44">
        <f t="shared" ca="1" si="4"/>
        <v>21</v>
      </c>
    </row>
    <row r="314" spans="1:26" x14ac:dyDescent="0.25">
      <c r="A314" s="52" t="s">
        <v>616</v>
      </c>
      <c r="B314" s="52" t="s">
        <v>90</v>
      </c>
      <c r="C314" s="53">
        <v>61116</v>
      </c>
      <c r="D314" s="54">
        <v>75655</v>
      </c>
      <c r="K314" s="54"/>
      <c r="N314" s="62">
        <v>510006317</v>
      </c>
      <c r="O314" s="56">
        <v>3037710498</v>
      </c>
      <c r="P314" s="44" t="s">
        <v>76</v>
      </c>
      <c r="Q314" s="57">
        <v>50821</v>
      </c>
      <c r="R314" s="58" t="s">
        <v>71</v>
      </c>
      <c r="S314" s="45"/>
      <c r="T314" s="45"/>
      <c r="U314" s="59">
        <v>488004083</v>
      </c>
      <c r="V314" s="58" t="s">
        <v>584</v>
      </c>
      <c r="W314" s="60" t="s">
        <v>101</v>
      </c>
      <c r="X314" s="58" t="s">
        <v>90</v>
      </c>
      <c r="Y314" s="61">
        <f>39250+(6*364)</f>
        <v>41434</v>
      </c>
      <c r="Z314" s="44">
        <f t="shared" ca="1" si="4"/>
        <v>11</v>
      </c>
    </row>
    <row r="315" spans="1:26" x14ac:dyDescent="0.25">
      <c r="A315" s="52" t="s">
        <v>617</v>
      </c>
      <c r="B315" s="52" t="s">
        <v>90</v>
      </c>
      <c r="C315" s="53">
        <v>26494</v>
      </c>
      <c r="D315" s="54">
        <v>89727</v>
      </c>
      <c r="K315" s="54"/>
      <c r="N315" s="62">
        <v>511002166</v>
      </c>
      <c r="O315" s="56">
        <v>3035299873</v>
      </c>
      <c r="P315" s="44" t="s">
        <v>70</v>
      </c>
      <c r="Q315" s="57">
        <v>117196</v>
      </c>
      <c r="R315" s="58" t="s">
        <v>71</v>
      </c>
      <c r="S315" s="45"/>
      <c r="T315" s="45"/>
      <c r="U315" s="59">
        <v>200000949</v>
      </c>
      <c r="V315" s="58" t="s">
        <v>586</v>
      </c>
      <c r="W315" s="60" t="s">
        <v>89</v>
      </c>
      <c r="X315" s="58" t="s">
        <v>173</v>
      </c>
      <c r="Y315" s="61">
        <f>36269+(6*364)</f>
        <v>38453</v>
      </c>
      <c r="Z315" s="44">
        <f t="shared" ca="1" si="4"/>
        <v>19</v>
      </c>
    </row>
    <row r="316" spans="1:26" x14ac:dyDescent="0.25">
      <c r="A316" s="52" t="s">
        <v>480</v>
      </c>
      <c r="B316" s="52" t="s">
        <v>176</v>
      </c>
      <c r="C316" s="53">
        <v>42014</v>
      </c>
      <c r="D316" s="54">
        <v>63605</v>
      </c>
      <c r="K316" s="54"/>
      <c r="N316" s="62">
        <v>511004728</v>
      </c>
      <c r="O316" s="56">
        <v>3031591006</v>
      </c>
      <c r="P316" s="44"/>
      <c r="Q316" s="57">
        <v>68475</v>
      </c>
      <c r="R316" s="58" t="s">
        <v>109</v>
      </c>
      <c r="S316" s="45"/>
      <c r="T316" s="45"/>
      <c r="U316" s="59">
        <v>443007002</v>
      </c>
      <c r="V316" s="58" t="s">
        <v>588</v>
      </c>
      <c r="W316" s="60" t="s">
        <v>89</v>
      </c>
      <c r="X316" s="58" t="s">
        <v>173</v>
      </c>
      <c r="Y316" s="61">
        <f>35952+(6*364)</f>
        <v>38136</v>
      </c>
      <c r="Z316" s="44">
        <f t="shared" ca="1" si="4"/>
        <v>20</v>
      </c>
    </row>
    <row r="317" spans="1:26" x14ac:dyDescent="0.25">
      <c r="A317" s="52" t="s">
        <v>500</v>
      </c>
      <c r="B317" s="52" t="s">
        <v>176</v>
      </c>
      <c r="C317" s="53">
        <v>20899</v>
      </c>
      <c r="D317" s="54">
        <v>115035</v>
      </c>
      <c r="K317" s="54"/>
      <c r="N317" s="62">
        <v>512001859</v>
      </c>
      <c r="O317" s="56">
        <v>5051919478</v>
      </c>
      <c r="P317" s="44" t="s">
        <v>70</v>
      </c>
      <c r="Q317" s="57">
        <v>66151</v>
      </c>
      <c r="R317" s="58" t="s">
        <v>77</v>
      </c>
      <c r="S317" s="45"/>
      <c r="T317" s="45"/>
      <c r="U317" s="59">
        <v>178001161</v>
      </c>
      <c r="V317" s="58" t="s">
        <v>590</v>
      </c>
      <c r="W317" s="60" t="s">
        <v>89</v>
      </c>
      <c r="X317" s="58" t="s">
        <v>132</v>
      </c>
      <c r="Y317" s="61">
        <f>40321+(6*364)</f>
        <v>42505</v>
      </c>
      <c r="Z317" s="44">
        <f t="shared" ca="1" si="4"/>
        <v>8</v>
      </c>
    </row>
    <row r="318" spans="1:26" x14ac:dyDescent="0.25">
      <c r="A318" s="52" t="s">
        <v>582</v>
      </c>
      <c r="B318" s="52" t="s">
        <v>176</v>
      </c>
      <c r="C318" s="53">
        <v>16997</v>
      </c>
      <c r="D318" s="54">
        <v>92681</v>
      </c>
      <c r="K318" s="54"/>
      <c r="N318" s="62">
        <v>514008045</v>
      </c>
      <c r="O318" s="56">
        <v>5051449596</v>
      </c>
      <c r="P318" s="44"/>
      <c r="Q318" s="57">
        <v>96457</v>
      </c>
      <c r="R318" s="58" t="s">
        <v>87</v>
      </c>
      <c r="S318" s="45"/>
      <c r="T318" s="45"/>
      <c r="U318" s="59">
        <v>624006387</v>
      </c>
      <c r="V318" s="58" t="s">
        <v>592</v>
      </c>
      <c r="W318" s="60" t="s">
        <v>73</v>
      </c>
      <c r="X318" s="58" t="s">
        <v>137</v>
      </c>
      <c r="Y318" s="61">
        <f>36225+(6*364)</f>
        <v>38409</v>
      </c>
      <c r="Z318" s="44">
        <f t="shared" ca="1" si="4"/>
        <v>19</v>
      </c>
    </row>
    <row r="319" spans="1:26" x14ac:dyDescent="0.25">
      <c r="A319" s="52" t="s">
        <v>620</v>
      </c>
      <c r="B319" s="52" t="s">
        <v>176</v>
      </c>
      <c r="C319" s="53">
        <v>57149</v>
      </c>
      <c r="D319" s="54">
        <v>85011</v>
      </c>
      <c r="K319" s="54"/>
      <c r="N319" s="62">
        <v>515007771</v>
      </c>
      <c r="O319" s="56">
        <v>3035882405</v>
      </c>
      <c r="P319" s="44" t="s">
        <v>99</v>
      </c>
      <c r="Q319" s="57">
        <v>121794</v>
      </c>
      <c r="R319" s="58" t="s">
        <v>71</v>
      </c>
      <c r="S319" s="45"/>
      <c r="T319" s="45"/>
      <c r="U319" s="59">
        <v>993007959</v>
      </c>
      <c r="V319" s="58" t="s">
        <v>594</v>
      </c>
      <c r="W319" s="60" t="s">
        <v>79</v>
      </c>
      <c r="X319" s="58" t="s">
        <v>137</v>
      </c>
      <c r="Y319" s="61">
        <f>42030+(6*364)</f>
        <v>44214</v>
      </c>
      <c r="Z319" s="44">
        <f t="shared" ca="1" si="4"/>
        <v>4</v>
      </c>
    </row>
    <row r="320" spans="1:26" x14ac:dyDescent="0.25">
      <c r="A320" s="52" t="s">
        <v>621</v>
      </c>
      <c r="B320" s="52" t="s">
        <v>176</v>
      </c>
      <c r="C320" s="53">
        <v>52431</v>
      </c>
      <c r="D320" s="54">
        <v>110523</v>
      </c>
      <c r="K320" s="54"/>
      <c r="N320" s="62">
        <v>516001018</v>
      </c>
      <c r="O320" s="56">
        <v>5058314799</v>
      </c>
      <c r="P320" s="44" t="s">
        <v>99</v>
      </c>
      <c r="Q320" s="57">
        <v>56009</v>
      </c>
      <c r="R320" s="58" t="s">
        <v>71</v>
      </c>
      <c r="S320" s="45"/>
      <c r="T320" s="45"/>
      <c r="U320" s="59">
        <v>764005137</v>
      </c>
      <c r="V320" s="58" t="s">
        <v>304</v>
      </c>
      <c r="W320" s="60" t="s">
        <v>89</v>
      </c>
      <c r="X320" s="58" t="s">
        <v>85</v>
      </c>
      <c r="Y320" s="61">
        <f>39090+(6*364)</f>
        <v>41274</v>
      </c>
      <c r="Z320" s="44">
        <f t="shared" ca="1" si="4"/>
        <v>12</v>
      </c>
    </row>
    <row r="321" spans="1:26" x14ac:dyDescent="0.25">
      <c r="A321" s="52" t="s">
        <v>622</v>
      </c>
      <c r="B321" s="52" t="s">
        <v>176</v>
      </c>
      <c r="C321" s="53">
        <v>15075</v>
      </c>
      <c r="D321" s="54">
        <v>96684</v>
      </c>
      <c r="K321" s="54"/>
      <c r="N321" s="62">
        <v>516008993</v>
      </c>
      <c r="O321" s="56">
        <v>9705119214</v>
      </c>
      <c r="P321" s="44" t="s">
        <v>92</v>
      </c>
      <c r="Q321" s="57">
        <v>81371</v>
      </c>
      <c r="R321" s="58" t="s">
        <v>71</v>
      </c>
      <c r="S321" s="45"/>
      <c r="T321" s="45"/>
      <c r="U321" s="59">
        <v>997006126</v>
      </c>
      <c r="V321" s="58" t="s">
        <v>491</v>
      </c>
      <c r="W321" s="60" t="s">
        <v>73</v>
      </c>
      <c r="X321" s="58" t="s">
        <v>80</v>
      </c>
      <c r="Y321" s="61">
        <f>38596+(6*364)</f>
        <v>40780</v>
      </c>
      <c r="Z321" s="44">
        <f t="shared" ca="1" si="4"/>
        <v>13</v>
      </c>
    </row>
    <row r="322" spans="1:26" x14ac:dyDescent="0.25">
      <c r="A322" s="52" t="s">
        <v>624</v>
      </c>
      <c r="B322" s="52" t="s">
        <v>176</v>
      </c>
      <c r="C322" s="53">
        <v>60524</v>
      </c>
      <c r="D322" s="54">
        <v>61139</v>
      </c>
      <c r="K322" s="54"/>
      <c r="N322" s="62">
        <v>517002452</v>
      </c>
      <c r="O322" s="56">
        <v>9701617913</v>
      </c>
      <c r="P322" s="44" t="s">
        <v>76</v>
      </c>
      <c r="Q322" s="57">
        <v>94119</v>
      </c>
      <c r="R322" s="58" t="s">
        <v>71</v>
      </c>
      <c r="S322" s="45"/>
      <c r="T322" s="45"/>
      <c r="U322" s="59">
        <v>657003757</v>
      </c>
      <c r="V322" s="58" t="s">
        <v>598</v>
      </c>
      <c r="W322" s="60" t="s">
        <v>84</v>
      </c>
      <c r="X322" s="58" t="s">
        <v>205</v>
      </c>
      <c r="Y322" s="61">
        <f>35103+(6*364)</f>
        <v>37287</v>
      </c>
      <c r="Z322" s="44">
        <f t="shared" ref="Z322:Z385" ca="1" si="5">DATEDIF(Y322,TODAY(),"Y")</f>
        <v>23</v>
      </c>
    </row>
    <row r="323" spans="1:26" x14ac:dyDescent="0.25">
      <c r="A323" s="52" t="s">
        <v>114</v>
      </c>
      <c r="B323" s="52" t="s">
        <v>85</v>
      </c>
      <c r="C323" s="53">
        <v>48075</v>
      </c>
      <c r="D323" s="54">
        <v>69893</v>
      </c>
      <c r="K323" s="54"/>
      <c r="N323" s="62">
        <v>517004893</v>
      </c>
      <c r="O323" s="56">
        <v>9703040292</v>
      </c>
      <c r="P323" s="44"/>
      <c r="Q323" s="57">
        <v>57174</v>
      </c>
      <c r="R323" s="58" t="s">
        <v>87</v>
      </c>
      <c r="S323" s="45"/>
      <c r="T323" s="45"/>
      <c r="U323" s="59">
        <v>233004556</v>
      </c>
      <c r="V323" s="58" t="s">
        <v>600</v>
      </c>
      <c r="W323" s="60" t="s">
        <v>101</v>
      </c>
      <c r="X323" s="58" t="s">
        <v>90</v>
      </c>
      <c r="Y323" s="61">
        <f>35955+(6*364)</f>
        <v>38139</v>
      </c>
      <c r="Z323" s="44">
        <f t="shared" ca="1" si="5"/>
        <v>20</v>
      </c>
    </row>
    <row r="324" spans="1:26" x14ac:dyDescent="0.25">
      <c r="A324" s="52" t="s">
        <v>142</v>
      </c>
      <c r="B324" s="52" t="s">
        <v>85</v>
      </c>
      <c r="C324" s="53">
        <v>75991</v>
      </c>
      <c r="D324" s="54">
        <v>97921</v>
      </c>
      <c r="K324" s="54"/>
      <c r="N324" s="62">
        <v>519001478</v>
      </c>
      <c r="O324" s="56">
        <v>3034999647</v>
      </c>
      <c r="P324" s="44"/>
      <c r="Q324" s="57">
        <v>88731</v>
      </c>
      <c r="R324" s="58" t="s">
        <v>87</v>
      </c>
      <c r="S324" s="45"/>
      <c r="T324" s="45"/>
      <c r="U324" s="59">
        <v>939001494</v>
      </c>
      <c r="V324" s="58" t="s">
        <v>602</v>
      </c>
      <c r="W324" s="60" t="s">
        <v>154</v>
      </c>
      <c r="X324" s="58" t="s">
        <v>80</v>
      </c>
      <c r="Y324" s="61">
        <f>38167+(6*364)</f>
        <v>40351</v>
      </c>
      <c r="Z324" s="44">
        <f t="shared" ca="1" si="5"/>
        <v>14</v>
      </c>
    </row>
    <row r="325" spans="1:26" x14ac:dyDescent="0.25">
      <c r="A325" s="52" t="s">
        <v>144</v>
      </c>
      <c r="B325" s="52" t="s">
        <v>85</v>
      </c>
      <c r="C325" s="53">
        <v>95890</v>
      </c>
      <c r="D325" s="54">
        <v>82083</v>
      </c>
      <c r="K325" s="54"/>
      <c r="N325" s="62">
        <v>519001733</v>
      </c>
      <c r="O325" s="56">
        <v>9704518022</v>
      </c>
      <c r="P325" s="44"/>
      <c r="Q325" s="57">
        <v>38249</v>
      </c>
      <c r="R325" s="58" t="s">
        <v>87</v>
      </c>
      <c r="S325" s="45"/>
      <c r="T325" s="45"/>
      <c r="U325" s="59">
        <v>276005891</v>
      </c>
      <c r="V325" s="58" t="s">
        <v>604</v>
      </c>
      <c r="W325" s="60" t="s">
        <v>73</v>
      </c>
      <c r="X325" s="58" t="s">
        <v>356</v>
      </c>
      <c r="Y325" s="61">
        <f>39429+(6*364)</f>
        <v>41613</v>
      </c>
      <c r="Z325" s="44">
        <f t="shared" ca="1" si="5"/>
        <v>11</v>
      </c>
    </row>
    <row r="326" spans="1:26" x14ac:dyDescent="0.25">
      <c r="A326" s="52" t="s">
        <v>175</v>
      </c>
      <c r="B326" s="52" t="s">
        <v>85</v>
      </c>
      <c r="C326" s="53">
        <v>35668</v>
      </c>
      <c r="D326" s="54">
        <v>30230</v>
      </c>
      <c r="K326" s="54"/>
      <c r="N326" s="62">
        <v>520004790</v>
      </c>
      <c r="O326" s="56">
        <v>3031628807</v>
      </c>
      <c r="P326" s="44" t="s">
        <v>99</v>
      </c>
      <c r="Q326" s="57">
        <v>43662</v>
      </c>
      <c r="R326" s="58" t="s">
        <v>71</v>
      </c>
      <c r="S326" s="45"/>
      <c r="T326" s="45"/>
      <c r="U326" s="59">
        <v>472002901</v>
      </c>
      <c r="V326" s="58" t="s">
        <v>368</v>
      </c>
      <c r="W326" s="60" t="s">
        <v>84</v>
      </c>
      <c r="X326" s="58" t="s">
        <v>96</v>
      </c>
      <c r="Y326" s="61">
        <f>38688+(6*364)</f>
        <v>40872</v>
      </c>
      <c r="Z326" s="44">
        <f t="shared" ca="1" si="5"/>
        <v>13</v>
      </c>
    </row>
    <row r="327" spans="1:26" x14ac:dyDescent="0.25">
      <c r="A327" s="52" t="s">
        <v>254</v>
      </c>
      <c r="B327" s="52" t="s">
        <v>85</v>
      </c>
      <c r="C327" s="53">
        <v>23801</v>
      </c>
      <c r="D327" s="54">
        <v>51643</v>
      </c>
      <c r="K327" s="54"/>
      <c r="N327" s="62">
        <v>524000396</v>
      </c>
      <c r="O327" s="56">
        <v>9706049607</v>
      </c>
      <c r="P327" s="44" t="s">
        <v>92</v>
      </c>
      <c r="Q327" s="57">
        <v>51413</v>
      </c>
      <c r="R327" s="58" t="s">
        <v>71</v>
      </c>
      <c r="S327" s="45"/>
      <c r="T327" s="45"/>
      <c r="U327" s="59">
        <v>386002452</v>
      </c>
      <c r="V327" s="58" t="s">
        <v>607</v>
      </c>
      <c r="W327" s="60" t="s">
        <v>73</v>
      </c>
      <c r="X327" s="58" t="s">
        <v>104</v>
      </c>
      <c r="Y327" s="61">
        <f>40068+(6*364)</f>
        <v>42252</v>
      </c>
      <c r="Z327" s="44">
        <f t="shared" ca="1" si="5"/>
        <v>9</v>
      </c>
    </row>
    <row r="328" spans="1:26" x14ac:dyDescent="0.25">
      <c r="A328" s="52" t="s">
        <v>270</v>
      </c>
      <c r="B328" s="52" t="s">
        <v>85</v>
      </c>
      <c r="C328" s="53">
        <v>64418</v>
      </c>
      <c r="D328" s="54">
        <v>133400</v>
      </c>
      <c r="K328" s="54"/>
      <c r="N328" s="62">
        <v>524002299</v>
      </c>
      <c r="O328" s="56">
        <v>5054627771</v>
      </c>
      <c r="P328" s="44" t="s">
        <v>76</v>
      </c>
      <c r="Q328" s="57">
        <v>75027</v>
      </c>
      <c r="R328" s="58" t="s">
        <v>71</v>
      </c>
      <c r="S328" s="45"/>
      <c r="T328" s="45"/>
      <c r="U328" s="59">
        <v>114009751</v>
      </c>
      <c r="V328" s="58" t="s">
        <v>609</v>
      </c>
      <c r="W328" s="60" t="s">
        <v>89</v>
      </c>
      <c r="X328" s="58" t="s">
        <v>90</v>
      </c>
      <c r="Y328" s="61">
        <f>36349+(6*364)</f>
        <v>38533</v>
      </c>
      <c r="Z328" s="44">
        <f t="shared" ca="1" si="5"/>
        <v>19</v>
      </c>
    </row>
    <row r="329" spans="1:26" x14ac:dyDescent="0.25">
      <c r="A329" s="52" t="s">
        <v>629</v>
      </c>
      <c r="B329" s="52" t="s">
        <v>85</v>
      </c>
      <c r="C329" s="53">
        <v>31776</v>
      </c>
      <c r="D329" s="54">
        <v>94748</v>
      </c>
      <c r="K329" s="54"/>
      <c r="N329" s="62">
        <v>526003128</v>
      </c>
      <c r="O329" s="56">
        <v>5053173691</v>
      </c>
      <c r="P329" s="44" t="s">
        <v>99</v>
      </c>
      <c r="Q329" s="57">
        <v>57809</v>
      </c>
      <c r="R329" s="58" t="s">
        <v>71</v>
      </c>
      <c r="S329" s="45"/>
      <c r="T329" s="45"/>
      <c r="U329" s="59">
        <v>129009571</v>
      </c>
      <c r="V329" s="58" t="s">
        <v>611</v>
      </c>
      <c r="W329" s="60" t="s">
        <v>73</v>
      </c>
      <c r="X329" s="58" t="s">
        <v>85</v>
      </c>
      <c r="Y329" s="61">
        <f>37606+(6*364)</f>
        <v>39790</v>
      </c>
      <c r="Z329" s="44">
        <f t="shared" ca="1" si="5"/>
        <v>16</v>
      </c>
    </row>
    <row r="330" spans="1:26" x14ac:dyDescent="0.25">
      <c r="A330" s="52" t="s">
        <v>344</v>
      </c>
      <c r="B330" s="52" t="s">
        <v>85</v>
      </c>
      <c r="C330" s="53">
        <v>17543</v>
      </c>
      <c r="D330" s="54">
        <v>82466</v>
      </c>
      <c r="K330" s="54"/>
      <c r="N330" s="62">
        <v>529001783</v>
      </c>
      <c r="O330" s="56">
        <v>3034589262</v>
      </c>
      <c r="P330" s="44"/>
      <c r="Q330" s="57">
        <v>88360</v>
      </c>
      <c r="R330" s="58" t="s">
        <v>109</v>
      </c>
      <c r="S330" s="45"/>
      <c r="T330" s="45"/>
      <c r="U330" s="59">
        <v>943009635</v>
      </c>
      <c r="V330" s="58" t="s">
        <v>612</v>
      </c>
      <c r="W330" s="60" t="s">
        <v>73</v>
      </c>
      <c r="X330" s="58" t="s">
        <v>94</v>
      </c>
      <c r="Y330" s="61">
        <f>39625+(6*364)</f>
        <v>41809</v>
      </c>
      <c r="Z330" s="44">
        <f t="shared" ca="1" si="5"/>
        <v>10</v>
      </c>
    </row>
    <row r="331" spans="1:26" x14ac:dyDescent="0.25">
      <c r="A331" s="52" t="s">
        <v>396</v>
      </c>
      <c r="B331" s="52" t="s">
        <v>85</v>
      </c>
      <c r="C331" s="53">
        <v>18958</v>
      </c>
      <c r="D331" s="54">
        <v>114205</v>
      </c>
      <c r="K331" s="54"/>
      <c r="N331" s="62">
        <v>529009100</v>
      </c>
      <c r="O331" s="56">
        <v>5052911046</v>
      </c>
      <c r="P331" s="44" t="s">
        <v>99</v>
      </c>
      <c r="Q331" s="57">
        <v>76963</v>
      </c>
      <c r="R331" s="58" t="s">
        <v>71</v>
      </c>
      <c r="S331" s="45"/>
      <c r="T331" s="45"/>
      <c r="U331" s="59">
        <v>911008047</v>
      </c>
      <c r="V331" s="58" t="s">
        <v>614</v>
      </c>
      <c r="W331" s="60" t="s">
        <v>73</v>
      </c>
      <c r="X331" s="58" t="s">
        <v>159</v>
      </c>
      <c r="Y331" s="61">
        <f>35747+(6*364)</f>
        <v>37931</v>
      </c>
      <c r="Z331" s="44">
        <f t="shared" ca="1" si="5"/>
        <v>21</v>
      </c>
    </row>
    <row r="332" spans="1:26" x14ac:dyDescent="0.25">
      <c r="A332" s="52" t="s">
        <v>467</v>
      </c>
      <c r="B332" s="52" t="s">
        <v>85</v>
      </c>
      <c r="C332" s="53">
        <v>61246</v>
      </c>
      <c r="D332" s="54">
        <v>104004</v>
      </c>
      <c r="K332" s="54"/>
      <c r="N332" s="62">
        <v>531009193</v>
      </c>
      <c r="O332" s="56">
        <v>5057173558</v>
      </c>
      <c r="P332" s="44"/>
      <c r="Q332" s="57">
        <v>42576</v>
      </c>
      <c r="R332" s="58" t="s">
        <v>87</v>
      </c>
      <c r="S332" s="45"/>
      <c r="T332" s="45"/>
      <c r="U332" s="59">
        <v>517002452</v>
      </c>
      <c r="V332" s="58" t="s">
        <v>217</v>
      </c>
      <c r="W332" s="60" t="s">
        <v>73</v>
      </c>
      <c r="X332" s="58" t="s">
        <v>104</v>
      </c>
      <c r="Y332" s="61">
        <f>35381+(6*364)</f>
        <v>37565</v>
      </c>
      <c r="Z332" s="44">
        <f t="shared" ca="1" si="5"/>
        <v>22</v>
      </c>
    </row>
    <row r="333" spans="1:26" x14ac:dyDescent="0.25">
      <c r="A333" s="52" t="s">
        <v>518</v>
      </c>
      <c r="B333" s="52" t="s">
        <v>85</v>
      </c>
      <c r="C333" s="53">
        <v>88074</v>
      </c>
      <c r="D333" s="54">
        <v>125848</v>
      </c>
      <c r="K333" s="54"/>
      <c r="N333" s="62">
        <v>532009702</v>
      </c>
      <c r="O333" s="56">
        <v>5053557946</v>
      </c>
      <c r="P333" s="44" t="s">
        <v>92</v>
      </c>
      <c r="Q333" s="57">
        <v>77790</v>
      </c>
      <c r="R333" s="58" t="s">
        <v>71</v>
      </c>
      <c r="S333" s="45"/>
      <c r="T333" s="45"/>
      <c r="U333" s="59">
        <v>786009448</v>
      </c>
      <c r="V333" s="58" t="s">
        <v>493</v>
      </c>
      <c r="W333" s="60" t="s">
        <v>79</v>
      </c>
      <c r="X333" s="58" t="s">
        <v>107</v>
      </c>
      <c r="Y333" s="61">
        <f>42216+(6*364)</f>
        <v>44400</v>
      </c>
      <c r="Z333" s="44">
        <f t="shared" ca="1" si="5"/>
        <v>3</v>
      </c>
    </row>
    <row r="334" spans="1:26" x14ac:dyDescent="0.25">
      <c r="A334" s="52" t="s">
        <v>537</v>
      </c>
      <c r="B334" s="52" t="s">
        <v>85</v>
      </c>
      <c r="C334" s="53">
        <v>53968</v>
      </c>
      <c r="D334" s="54">
        <v>109185</v>
      </c>
      <c r="K334" s="54"/>
      <c r="N334" s="62">
        <v>538004651</v>
      </c>
      <c r="O334" s="56">
        <v>7196969994</v>
      </c>
      <c r="P334" s="44" t="s">
        <v>92</v>
      </c>
      <c r="Q334" s="57">
        <v>66578</v>
      </c>
      <c r="R334" s="58" t="s">
        <v>71</v>
      </c>
      <c r="S334" s="45"/>
      <c r="T334" s="45"/>
      <c r="U334" s="59">
        <v>914006664</v>
      </c>
      <c r="V334" s="58" t="s">
        <v>219</v>
      </c>
      <c r="W334" s="60" t="s">
        <v>101</v>
      </c>
      <c r="X334" s="58" t="s">
        <v>85</v>
      </c>
      <c r="Y334" s="61">
        <f>37206+(6*364)</f>
        <v>39390</v>
      </c>
      <c r="Z334" s="44">
        <f t="shared" ca="1" si="5"/>
        <v>17</v>
      </c>
    </row>
    <row r="335" spans="1:26" x14ac:dyDescent="0.25">
      <c r="A335" s="52" t="s">
        <v>27</v>
      </c>
      <c r="B335" s="52" t="s">
        <v>85</v>
      </c>
      <c r="C335" s="53">
        <v>75288</v>
      </c>
      <c r="D335" s="54">
        <v>77634</v>
      </c>
      <c r="K335" s="54"/>
      <c r="N335" s="55">
        <v>538009396</v>
      </c>
      <c r="O335" s="56">
        <v>3036738901</v>
      </c>
      <c r="P335" s="44" t="s">
        <v>99</v>
      </c>
      <c r="Q335" s="57">
        <v>122689</v>
      </c>
      <c r="R335" s="58" t="s">
        <v>71</v>
      </c>
      <c r="S335" s="45"/>
      <c r="T335" s="45"/>
      <c r="U335" s="59">
        <v>775006154</v>
      </c>
      <c r="V335" s="58" t="s">
        <v>221</v>
      </c>
      <c r="W335" s="60" t="s">
        <v>73</v>
      </c>
      <c r="X335" s="58" t="s">
        <v>173</v>
      </c>
      <c r="Y335" s="61">
        <f>35609+(6*364)</f>
        <v>37793</v>
      </c>
      <c r="Z335" s="44">
        <f t="shared" ca="1" si="5"/>
        <v>21</v>
      </c>
    </row>
    <row r="336" spans="1:26" x14ac:dyDescent="0.25">
      <c r="A336" s="52" t="s">
        <v>571</v>
      </c>
      <c r="B336" s="52" t="s">
        <v>85</v>
      </c>
      <c r="C336" s="53">
        <v>42757</v>
      </c>
      <c r="D336" s="54">
        <v>90382</v>
      </c>
      <c r="K336" s="54"/>
      <c r="N336" s="62">
        <v>540002627</v>
      </c>
      <c r="O336" s="56">
        <v>5058413896</v>
      </c>
      <c r="P336" s="44" t="s">
        <v>76</v>
      </c>
      <c r="Q336" s="57">
        <v>61670</v>
      </c>
      <c r="R336" s="58" t="s">
        <v>71</v>
      </c>
      <c r="S336" s="45"/>
      <c r="T336" s="45"/>
      <c r="U336" s="59">
        <v>778005491</v>
      </c>
      <c r="V336" s="58" t="s">
        <v>618</v>
      </c>
      <c r="W336" s="60" t="s">
        <v>73</v>
      </c>
      <c r="X336" s="58" t="s">
        <v>90</v>
      </c>
      <c r="Y336" s="61">
        <f>38901+(6*364)</f>
        <v>41085</v>
      </c>
      <c r="Z336" s="44">
        <f t="shared" ca="1" si="5"/>
        <v>12</v>
      </c>
    </row>
    <row r="337" spans="1:26" x14ac:dyDescent="0.25">
      <c r="A337" s="52" t="s">
        <v>577</v>
      </c>
      <c r="B337" s="52" t="s">
        <v>85</v>
      </c>
      <c r="C337" s="53">
        <v>39811</v>
      </c>
      <c r="D337" s="54">
        <v>85011</v>
      </c>
      <c r="K337" s="54"/>
      <c r="N337" s="62">
        <v>540009081</v>
      </c>
      <c r="O337" s="56">
        <v>5052529195</v>
      </c>
      <c r="P337" s="44"/>
      <c r="Q337" s="57">
        <v>39944</v>
      </c>
      <c r="R337" s="58" t="s">
        <v>87</v>
      </c>
      <c r="S337" s="45"/>
      <c r="T337" s="45"/>
      <c r="U337" s="59">
        <v>203003226</v>
      </c>
      <c r="V337" s="58" t="s">
        <v>619</v>
      </c>
      <c r="W337" s="60" t="s">
        <v>73</v>
      </c>
      <c r="X337" s="58" t="s">
        <v>96</v>
      </c>
      <c r="Y337" s="61">
        <f>35755+(6*364)</f>
        <v>37939</v>
      </c>
      <c r="Z337" s="44">
        <f t="shared" ca="1" si="5"/>
        <v>21</v>
      </c>
    </row>
    <row r="338" spans="1:26" x14ac:dyDescent="0.25">
      <c r="A338" s="52" t="s">
        <v>623</v>
      </c>
      <c r="B338" s="52" t="s">
        <v>85</v>
      </c>
      <c r="C338" s="53">
        <v>21857</v>
      </c>
      <c r="D338" s="54">
        <v>125426</v>
      </c>
      <c r="K338" s="54"/>
      <c r="N338" s="62">
        <v>541005222</v>
      </c>
      <c r="O338" s="56">
        <v>3032354572</v>
      </c>
      <c r="P338" s="44" t="s">
        <v>99</v>
      </c>
      <c r="Q338" s="57">
        <v>121666</v>
      </c>
      <c r="R338" s="58" t="s">
        <v>71</v>
      </c>
      <c r="S338" s="45"/>
      <c r="T338" s="45"/>
      <c r="U338" s="59">
        <v>443001756</v>
      </c>
      <c r="V338" s="58" t="s">
        <v>326</v>
      </c>
      <c r="W338" s="60" t="s">
        <v>89</v>
      </c>
      <c r="X338" s="58" t="s">
        <v>74</v>
      </c>
      <c r="Y338" s="61">
        <f>36695+(6*364)</f>
        <v>38879</v>
      </c>
      <c r="Z338" s="44">
        <f t="shared" ca="1" si="5"/>
        <v>18</v>
      </c>
    </row>
    <row r="339" spans="1:26" x14ac:dyDescent="0.25">
      <c r="A339" s="52" t="s">
        <v>625</v>
      </c>
      <c r="B339" s="52" t="s">
        <v>85</v>
      </c>
      <c r="C339" s="53">
        <v>61412</v>
      </c>
      <c r="D339" s="54">
        <v>99536</v>
      </c>
      <c r="K339" s="54"/>
      <c r="N339" s="62">
        <v>542002722</v>
      </c>
      <c r="O339" s="56">
        <v>3036446519</v>
      </c>
      <c r="P339" s="44" t="s">
        <v>70</v>
      </c>
      <c r="Q339" s="57">
        <v>92379</v>
      </c>
      <c r="R339" s="58" t="s">
        <v>77</v>
      </c>
      <c r="S339" s="45"/>
      <c r="T339" s="45"/>
      <c r="U339" s="59">
        <v>575008183</v>
      </c>
      <c r="V339" s="58" t="s">
        <v>494</v>
      </c>
      <c r="W339" s="60" t="s">
        <v>73</v>
      </c>
      <c r="X339" s="58" t="s">
        <v>104</v>
      </c>
      <c r="Y339" s="61">
        <f>35735+(6*364)</f>
        <v>37919</v>
      </c>
      <c r="Z339" s="44">
        <f t="shared" ca="1" si="5"/>
        <v>21</v>
      </c>
    </row>
    <row r="340" spans="1:26" x14ac:dyDescent="0.25">
      <c r="A340" s="52" t="s">
        <v>640</v>
      </c>
      <c r="B340" s="52" t="s">
        <v>85</v>
      </c>
      <c r="C340" s="53">
        <v>28458</v>
      </c>
      <c r="D340" s="54">
        <v>120027</v>
      </c>
      <c r="K340" s="54"/>
      <c r="N340" s="62">
        <v>542004436</v>
      </c>
      <c r="O340" s="56">
        <v>5051267946</v>
      </c>
      <c r="P340" s="44" t="s">
        <v>76</v>
      </c>
      <c r="Q340" s="57">
        <v>107062</v>
      </c>
      <c r="R340" s="58" t="s">
        <v>71</v>
      </c>
      <c r="S340" s="45"/>
      <c r="T340" s="45"/>
      <c r="U340" s="59">
        <v>880003642</v>
      </c>
      <c r="V340" s="58" t="s">
        <v>623</v>
      </c>
      <c r="W340" s="60" t="s">
        <v>89</v>
      </c>
      <c r="X340" s="58" t="s">
        <v>80</v>
      </c>
      <c r="Y340" s="61">
        <f>35881+(6*364)</f>
        <v>38065</v>
      </c>
      <c r="Z340" s="44">
        <f t="shared" ca="1" si="5"/>
        <v>20</v>
      </c>
    </row>
    <row r="341" spans="1:26" x14ac:dyDescent="0.25">
      <c r="A341" s="52" t="s">
        <v>632</v>
      </c>
      <c r="B341" s="52" t="s">
        <v>85</v>
      </c>
      <c r="C341" s="53">
        <v>60911</v>
      </c>
      <c r="D341" s="54">
        <v>132979</v>
      </c>
      <c r="K341" s="54"/>
      <c r="N341" s="62">
        <v>542006386</v>
      </c>
      <c r="O341" s="56">
        <v>9702872439</v>
      </c>
      <c r="P341" s="44" t="s">
        <v>99</v>
      </c>
      <c r="Q341" s="57">
        <v>93557</v>
      </c>
      <c r="R341" s="58" t="s">
        <v>109</v>
      </c>
      <c r="S341" s="45"/>
      <c r="T341" s="45"/>
      <c r="U341" s="59">
        <v>648004266</v>
      </c>
      <c r="V341" s="58" t="s">
        <v>370</v>
      </c>
      <c r="W341" s="60" t="s">
        <v>89</v>
      </c>
      <c r="X341" s="58" t="s">
        <v>94</v>
      </c>
      <c r="Y341" s="61">
        <f>37143+(6*364)</f>
        <v>39327</v>
      </c>
      <c r="Z341" s="44">
        <f t="shared" ca="1" si="5"/>
        <v>17</v>
      </c>
    </row>
    <row r="342" spans="1:26" x14ac:dyDescent="0.25">
      <c r="A342" s="52" t="s">
        <v>638</v>
      </c>
      <c r="B342" s="52" t="s">
        <v>85</v>
      </c>
      <c r="C342" s="53">
        <v>72014</v>
      </c>
      <c r="D342" s="54">
        <v>126109</v>
      </c>
      <c r="K342" s="54"/>
      <c r="N342" s="55">
        <v>543008652</v>
      </c>
      <c r="O342" s="56">
        <v>9702474315</v>
      </c>
      <c r="P342" s="44" t="s">
        <v>92</v>
      </c>
      <c r="Q342" s="57">
        <v>60613</v>
      </c>
      <c r="R342" s="58" t="s">
        <v>71</v>
      </c>
      <c r="S342" s="45"/>
      <c r="T342" s="45"/>
      <c r="U342" s="59">
        <v>205000202</v>
      </c>
      <c r="V342" s="58" t="s">
        <v>495</v>
      </c>
      <c r="W342" s="60" t="s">
        <v>101</v>
      </c>
      <c r="X342" s="58" t="s">
        <v>85</v>
      </c>
      <c r="Y342" s="61">
        <f>35689+(6*364)</f>
        <v>37873</v>
      </c>
      <c r="Z342" s="44">
        <f t="shared" ca="1" si="5"/>
        <v>21</v>
      </c>
    </row>
    <row r="343" spans="1:26" x14ac:dyDescent="0.25">
      <c r="A343" s="52" t="s">
        <v>643</v>
      </c>
      <c r="B343" s="52" t="s">
        <v>85</v>
      </c>
      <c r="C343" s="53">
        <v>81219</v>
      </c>
      <c r="D343" s="54">
        <v>76302</v>
      </c>
      <c r="K343" s="54"/>
      <c r="N343" s="62">
        <v>544000413</v>
      </c>
      <c r="O343" s="56">
        <v>3034727385</v>
      </c>
      <c r="P343" s="44"/>
      <c r="Q343" s="57">
        <v>28475</v>
      </c>
      <c r="R343" s="58" t="s">
        <v>87</v>
      </c>
      <c r="S343" s="45"/>
      <c r="T343" s="45"/>
      <c r="U343" s="59">
        <v>866003432</v>
      </c>
      <c r="V343" s="58" t="s">
        <v>223</v>
      </c>
      <c r="W343" s="60" t="s">
        <v>73</v>
      </c>
      <c r="X343" s="58" t="s">
        <v>80</v>
      </c>
      <c r="Y343" s="61">
        <f>42492+(6*364)</f>
        <v>44676</v>
      </c>
      <c r="Z343" s="44">
        <f t="shared" ca="1" si="5"/>
        <v>2</v>
      </c>
    </row>
    <row r="344" spans="1:26" x14ac:dyDescent="0.25">
      <c r="A344" s="52" t="s">
        <v>644</v>
      </c>
      <c r="B344" s="52" t="s">
        <v>85</v>
      </c>
      <c r="C344" s="53">
        <v>84710</v>
      </c>
      <c r="D344" s="54">
        <v>79045</v>
      </c>
      <c r="K344" s="54"/>
      <c r="N344" s="62">
        <v>546005579</v>
      </c>
      <c r="O344" s="56">
        <v>5053883919</v>
      </c>
      <c r="P344" s="44" t="s">
        <v>99</v>
      </c>
      <c r="Q344" s="57">
        <v>57206</v>
      </c>
      <c r="R344" s="58" t="s">
        <v>71</v>
      </c>
      <c r="S344" s="45"/>
      <c r="T344" s="45"/>
      <c r="U344" s="59">
        <v>340004938</v>
      </c>
      <c r="V344" s="58" t="s">
        <v>625</v>
      </c>
      <c r="W344" s="60" t="s">
        <v>73</v>
      </c>
      <c r="X344" s="58" t="s">
        <v>90</v>
      </c>
      <c r="Y344" s="61">
        <f>38642+(6*364)</f>
        <v>40826</v>
      </c>
      <c r="Z344" s="44">
        <f t="shared" ca="1" si="5"/>
        <v>13</v>
      </c>
    </row>
    <row r="345" spans="1:26" x14ac:dyDescent="0.25">
      <c r="A345" s="52" t="s">
        <v>645</v>
      </c>
      <c r="B345" s="52" t="s">
        <v>85</v>
      </c>
      <c r="C345" s="53">
        <v>54450</v>
      </c>
      <c r="D345" s="54">
        <v>64698</v>
      </c>
      <c r="K345" s="54"/>
      <c r="N345" s="55">
        <v>546007356</v>
      </c>
      <c r="O345" s="56">
        <v>7196129939</v>
      </c>
      <c r="P345" s="44" t="s">
        <v>70</v>
      </c>
      <c r="Q345" s="57">
        <v>52494</v>
      </c>
      <c r="R345" s="58" t="s">
        <v>71</v>
      </c>
      <c r="S345" s="45"/>
      <c r="T345" s="45"/>
      <c r="U345" s="59">
        <v>872007472</v>
      </c>
      <c r="V345" s="58" t="s">
        <v>626</v>
      </c>
      <c r="W345" s="60" t="s">
        <v>79</v>
      </c>
      <c r="X345" s="58" t="s">
        <v>94</v>
      </c>
      <c r="Y345" s="61">
        <f>36717+(6*364)</f>
        <v>38901</v>
      </c>
      <c r="Z345" s="44">
        <f t="shared" ca="1" si="5"/>
        <v>18</v>
      </c>
    </row>
    <row r="346" spans="1:26" x14ac:dyDescent="0.25">
      <c r="A346" s="52" t="s">
        <v>647</v>
      </c>
      <c r="B346" s="52" t="s">
        <v>85</v>
      </c>
      <c r="C346" s="53">
        <v>22047</v>
      </c>
      <c r="D346" s="54">
        <v>75916</v>
      </c>
      <c r="K346" s="54"/>
      <c r="N346" s="62">
        <v>548000196</v>
      </c>
      <c r="O346" s="56">
        <v>3035459665</v>
      </c>
      <c r="P346" s="44" t="s">
        <v>70</v>
      </c>
      <c r="Q346" s="57">
        <v>104690</v>
      </c>
      <c r="R346" s="58" t="s">
        <v>71</v>
      </c>
      <c r="S346" s="45"/>
      <c r="T346" s="45"/>
      <c r="U346" s="59">
        <v>241006501</v>
      </c>
      <c r="V346" s="58" t="s">
        <v>627</v>
      </c>
      <c r="W346" s="60" t="s">
        <v>79</v>
      </c>
      <c r="X346" s="58" t="s">
        <v>137</v>
      </c>
      <c r="Y346" s="61">
        <f>35475+(6*364)</f>
        <v>37659</v>
      </c>
      <c r="Z346" s="44">
        <f t="shared" ca="1" si="5"/>
        <v>22</v>
      </c>
    </row>
    <row r="347" spans="1:26" x14ac:dyDescent="0.25">
      <c r="A347" s="52" t="s">
        <v>649</v>
      </c>
      <c r="B347" s="52" t="s">
        <v>85</v>
      </c>
      <c r="C347" s="53">
        <v>66479</v>
      </c>
      <c r="D347" s="54">
        <v>69914</v>
      </c>
      <c r="K347" s="54"/>
      <c r="N347" s="62">
        <v>549004126</v>
      </c>
      <c r="O347" s="56">
        <v>7194221208</v>
      </c>
      <c r="P347" s="44"/>
      <c r="Q347" s="57">
        <v>93192</v>
      </c>
      <c r="R347" s="58" t="s">
        <v>87</v>
      </c>
      <c r="S347" s="45"/>
      <c r="T347" s="45"/>
      <c r="U347" s="59">
        <v>192000526</v>
      </c>
      <c r="V347" s="58" t="s">
        <v>628</v>
      </c>
      <c r="W347" s="60" t="s">
        <v>154</v>
      </c>
      <c r="X347" s="58" t="s">
        <v>176</v>
      </c>
      <c r="Y347" s="61">
        <f>35756+(6*364)</f>
        <v>37940</v>
      </c>
      <c r="Z347" s="44">
        <f t="shared" ca="1" si="5"/>
        <v>21</v>
      </c>
    </row>
    <row r="348" spans="1:26" x14ac:dyDescent="0.25">
      <c r="A348" s="52" t="s">
        <v>650</v>
      </c>
      <c r="B348" s="52" t="s">
        <v>85</v>
      </c>
      <c r="C348" s="53">
        <v>72518</v>
      </c>
      <c r="D348" s="54">
        <v>73603</v>
      </c>
      <c r="K348" s="54"/>
      <c r="N348" s="55">
        <v>549004673</v>
      </c>
      <c r="O348" s="56">
        <v>5057963782</v>
      </c>
      <c r="P348" s="44"/>
      <c r="Q348" s="57">
        <v>68869</v>
      </c>
      <c r="R348" s="58" t="s">
        <v>109</v>
      </c>
      <c r="S348" s="45"/>
      <c r="T348" s="45"/>
      <c r="U348" s="59">
        <v>895003624</v>
      </c>
      <c r="V348" s="58" t="s">
        <v>496</v>
      </c>
      <c r="W348" s="60" t="s">
        <v>79</v>
      </c>
      <c r="X348" s="58" t="s">
        <v>107</v>
      </c>
      <c r="Y348" s="61">
        <f>35710+(6*364)</f>
        <v>37894</v>
      </c>
      <c r="Z348" s="44">
        <f t="shared" ca="1" si="5"/>
        <v>21</v>
      </c>
    </row>
    <row r="349" spans="1:26" x14ac:dyDescent="0.25">
      <c r="A349" s="52" t="s">
        <v>652</v>
      </c>
      <c r="B349" s="52" t="s">
        <v>85</v>
      </c>
      <c r="C349" s="53">
        <v>59423</v>
      </c>
      <c r="D349" s="54">
        <v>60136</v>
      </c>
      <c r="K349" s="54"/>
      <c r="N349" s="62">
        <v>549007376</v>
      </c>
      <c r="O349" s="56">
        <v>9701299076</v>
      </c>
      <c r="P349" s="44" t="s">
        <v>92</v>
      </c>
      <c r="Q349" s="57">
        <v>122097</v>
      </c>
      <c r="R349" s="58" t="s">
        <v>71</v>
      </c>
      <c r="S349" s="45"/>
      <c r="T349" s="45"/>
      <c r="U349" s="59">
        <v>783008281</v>
      </c>
      <c r="V349" s="58" t="s">
        <v>630</v>
      </c>
      <c r="W349" s="60" t="s">
        <v>101</v>
      </c>
      <c r="X349" s="58" t="s">
        <v>80</v>
      </c>
      <c r="Y349" s="61">
        <f>38004+(6*364)</f>
        <v>40188</v>
      </c>
      <c r="Z349" s="44">
        <f t="shared" ca="1" si="5"/>
        <v>15</v>
      </c>
    </row>
    <row r="350" spans="1:26" x14ac:dyDescent="0.25">
      <c r="A350" s="52" t="s">
        <v>653</v>
      </c>
      <c r="B350" s="52" t="s">
        <v>85</v>
      </c>
      <c r="C350" s="53">
        <v>34754</v>
      </c>
      <c r="D350" s="54">
        <v>81432</v>
      </c>
      <c r="K350" s="54"/>
      <c r="N350" s="62">
        <v>549008940</v>
      </c>
      <c r="O350" s="56">
        <v>3031280865</v>
      </c>
      <c r="P350" s="44" t="s">
        <v>99</v>
      </c>
      <c r="Q350" s="57">
        <v>109628</v>
      </c>
      <c r="R350" s="58" t="s">
        <v>71</v>
      </c>
      <c r="S350" s="45"/>
      <c r="T350" s="45"/>
      <c r="U350" s="59">
        <v>572001225</v>
      </c>
      <c r="V350" s="58" t="s">
        <v>631</v>
      </c>
      <c r="W350" s="60" t="s">
        <v>73</v>
      </c>
      <c r="X350" s="58" t="s">
        <v>80</v>
      </c>
      <c r="Y350" s="61">
        <f>42487+(6*364)</f>
        <v>44671</v>
      </c>
      <c r="Z350" s="44">
        <f t="shared" ca="1" si="5"/>
        <v>2</v>
      </c>
    </row>
    <row r="351" spans="1:26" x14ac:dyDescent="0.25">
      <c r="A351" s="52" t="s">
        <v>654</v>
      </c>
      <c r="B351" s="52" t="s">
        <v>85</v>
      </c>
      <c r="C351" s="53">
        <v>61232</v>
      </c>
      <c r="D351" s="54">
        <v>69862</v>
      </c>
      <c r="K351" s="54"/>
      <c r="N351" s="62">
        <v>549009495</v>
      </c>
      <c r="O351" s="56">
        <v>7192924678</v>
      </c>
      <c r="P351" s="44" t="s">
        <v>99</v>
      </c>
      <c r="Q351" s="57">
        <v>79139</v>
      </c>
      <c r="R351" s="58" t="s">
        <v>71</v>
      </c>
      <c r="S351" s="45"/>
      <c r="T351" s="45"/>
      <c r="U351" s="59">
        <v>918007446</v>
      </c>
      <c r="V351" s="58" t="s">
        <v>632</v>
      </c>
      <c r="W351" s="60" t="s">
        <v>79</v>
      </c>
      <c r="X351" s="58" t="s">
        <v>80</v>
      </c>
      <c r="Y351" s="61">
        <f>35713+(6*364)</f>
        <v>37897</v>
      </c>
      <c r="Z351" s="44">
        <f t="shared" ca="1" si="5"/>
        <v>21</v>
      </c>
    </row>
    <row r="352" spans="1:26" x14ac:dyDescent="0.25">
      <c r="A352" s="52" t="s">
        <v>656</v>
      </c>
      <c r="B352" s="52" t="s">
        <v>85</v>
      </c>
      <c r="C352" s="53">
        <v>71784</v>
      </c>
      <c r="D352" s="54">
        <v>70968</v>
      </c>
      <c r="K352" s="54"/>
      <c r="N352" s="62">
        <v>550001130</v>
      </c>
      <c r="O352" s="56">
        <v>7197494648</v>
      </c>
      <c r="P352" s="44" t="s">
        <v>70</v>
      </c>
      <c r="Q352" s="57">
        <v>69767</v>
      </c>
      <c r="R352" s="58" t="s">
        <v>71</v>
      </c>
      <c r="S352" s="45"/>
      <c r="T352" s="45"/>
      <c r="U352" s="59">
        <v>181006747</v>
      </c>
      <c r="V352" s="58" t="s">
        <v>633</v>
      </c>
      <c r="W352" s="60" t="s">
        <v>73</v>
      </c>
      <c r="X352" s="58" t="s">
        <v>107</v>
      </c>
      <c r="Y352" s="61">
        <f>37131+(6*364)</f>
        <v>39315</v>
      </c>
      <c r="Z352" s="44">
        <f t="shared" ca="1" si="5"/>
        <v>17</v>
      </c>
    </row>
    <row r="353" spans="1:26" x14ac:dyDescent="0.25">
      <c r="A353" s="52" t="s">
        <v>657</v>
      </c>
      <c r="B353" s="52" t="s">
        <v>85</v>
      </c>
      <c r="C353" s="53">
        <v>46301</v>
      </c>
      <c r="D353" s="54">
        <v>83004</v>
      </c>
      <c r="K353" s="54"/>
      <c r="N353" s="62">
        <v>550004629</v>
      </c>
      <c r="O353" s="56">
        <v>7191276517</v>
      </c>
      <c r="P353" s="44" t="s">
        <v>99</v>
      </c>
      <c r="Q353" s="57">
        <v>81591</v>
      </c>
      <c r="R353" s="58" t="s">
        <v>71</v>
      </c>
      <c r="S353" s="45"/>
      <c r="T353" s="45"/>
      <c r="U353" s="59">
        <v>102005930</v>
      </c>
      <c r="V353" s="58" t="s">
        <v>499</v>
      </c>
      <c r="W353" s="60" t="s">
        <v>79</v>
      </c>
      <c r="X353" s="58" t="s">
        <v>176</v>
      </c>
      <c r="Y353" s="61">
        <f>40962+(6*364)</f>
        <v>43146</v>
      </c>
      <c r="Z353" s="44">
        <f t="shared" ca="1" si="5"/>
        <v>7</v>
      </c>
    </row>
    <row r="354" spans="1:26" x14ac:dyDescent="0.25">
      <c r="A354" s="52" t="s">
        <v>659</v>
      </c>
      <c r="B354" s="52" t="s">
        <v>85</v>
      </c>
      <c r="C354" s="53">
        <v>39882</v>
      </c>
      <c r="D354" s="54">
        <v>79671</v>
      </c>
      <c r="K354" s="54"/>
      <c r="N354" s="62">
        <v>551001165</v>
      </c>
      <c r="O354" s="56">
        <v>5056584511</v>
      </c>
      <c r="P354" s="44"/>
      <c r="Q354" s="57">
        <v>98709</v>
      </c>
      <c r="R354" s="58" t="s">
        <v>87</v>
      </c>
      <c r="S354" s="45"/>
      <c r="T354" s="45"/>
      <c r="U354" s="59">
        <v>253005904</v>
      </c>
      <c r="V354" s="58" t="s">
        <v>634</v>
      </c>
      <c r="W354" s="60" t="s">
        <v>73</v>
      </c>
      <c r="X354" s="58" t="s">
        <v>90</v>
      </c>
      <c r="Y354" s="61">
        <f>38284+(6*364)</f>
        <v>40468</v>
      </c>
      <c r="Z354" s="44">
        <f t="shared" ca="1" si="5"/>
        <v>14</v>
      </c>
    </row>
    <row r="355" spans="1:26" x14ac:dyDescent="0.25">
      <c r="A355" s="52" t="s">
        <v>661</v>
      </c>
      <c r="B355" s="52" t="s">
        <v>85</v>
      </c>
      <c r="C355" s="53">
        <v>57641</v>
      </c>
      <c r="D355" s="54">
        <v>77910</v>
      </c>
      <c r="K355" s="54"/>
      <c r="N355" s="55">
        <v>552006693</v>
      </c>
      <c r="O355" s="56">
        <v>7193262077</v>
      </c>
      <c r="P355" s="44" t="s">
        <v>99</v>
      </c>
      <c r="Q355" s="57">
        <v>70267</v>
      </c>
      <c r="R355" s="58" t="s">
        <v>71</v>
      </c>
      <c r="S355" s="45"/>
      <c r="T355" s="45"/>
      <c r="U355" s="59">
        <v>936001320</v>
      </c>
      <c r="V355" s="58" t="s">
        <v>635</v>
      </c>
      <c r="W355" s="60" t="s">
        <v>79</v>
      </c>
      <c r="X355" s="58" t="s">
        <v>94</v>
      </c>
      <c r="Y355" s="61">
        <f>38010+(6*364)</f>
        <v>40194</v>
      </c>
      <c r="Z355" s="44">
        <f t="shared" ca="1" si="5"/>
        <v>15</v>
      </c>
    </row>
    <row r="356" spans="1:26" x14ac:dyDescent="0.25">
      <c r="A356" s="52" t="s">
        <v>663</v>
      </c>
      <c r="B356" s="52" t="s">
        <v>85</v>
      </c>
      <c r="C356" s="53">
        <v>94254</v>
      </c>
      <c r="D356" s="54">
        <v>69566</v>
      </c>
      <c r="K356" s="54"/>
      <c r="N356" s="62">
        <v>553007195</v>
      </c>
      <c r="O356" s="56">
        <v>3031696804</v>
      </c>
      <c r="P356" s="44"/>
      <c r="Q356" s="57">
        <v>30255</v>
      </c>
      <c r="R356" s="58" t="s">
        <v>87</v>
      </c>
      <c r="S356" s="45"/>
      <c r="T356" s="45"/>
      <c r="U356" s="59">
        <v>815007954</v>
      </c>
      <c r="V356" s="58" t="s">
        <v>636</v>
      </c>
      <c r="W356" s="60" t="s">
        <v>79</v>
      </c>
      <c r="X356" s="58" t="s">
        <v>80</v>
      </c>
      <c r="Y356" s="61">
        <f>41526+(6*364)</f>
        <v>43710</v>
      </c>
      <c r="Z356" s="44">
        <f t="shared" ca="1" si="5"/>
        <v>5</v>
      </c>
    </row>
    <row r="357" spans="1:26" x14ac:dyDescent="0.25">
      <c r="A357" s="52" t="s">
        <v>664</v>
      </c>
      <c r="B357" s="52" t="s">
        <v>85</v>
      </c>
      <c r="C357" s="53">
        <v>73571</v>
      </c>
      <c r="D357" s="54">
        <v>36385</v>
      </c>
      <c r="K357" s="54"/>
      <c r="N357" s="62">
        <v>553009908</v>
      </c>
      <c r="O357" s="56">
        <v>5051658481</v>
      </c>
      <c r="P357" s="44"/>
      <c r="Q357" s="57">
        <v>36457</v>
      </c>
      <c r="R357" s="58" t="s">
        <v>87</v>
      </c>
      <c r="S357" s="45"/>
      <c r="T357" s="45"/>
      <c r="U357" s="59">
        <v>946006578</v>
      </c>
      <c r="V357" s="58" t="s">
        <v>501</v>
      </c>
      <c r="W357" s="60" t="s">
        <v>101</v>
      </c>
      <c r="X357" s="58" t="s">
        <v>94</v>
      </c>
      <c r="Y357" s="61">
        <f>37842+(6*364)</f>
        <v>40026</v>
      </c>
      <c r="Z357" s="44">
        <f t="shared" ca="1" si="5"/>
        <v>15</v>
      </c>
    </row>
    <row r="358" spans="1:26" x14ac:dyDescent="0.25">
      <c r="A358" s="52" t="s">
        <v>666</v>
      </c>
      <c r="B358" s="52" t="s">
        <v>85</v>
      </c>
      <c r="C358" s="53">
        <v>73192</v>
      </c>
      <c r="D358" s="54">
        <v>75445</v>
      </c>
      <c r="K358" s="54"/>
      <c r="N358" s="62">
        <v>555007424</v>
      </c>
      <c r="O358" s="56">
        <v>9704018412</v>
      </c>
      <c r="P358" s="44" t="s">
        <v>99</v>
      </c>
      <c r="Q358" s="57">
        <v>41601</v>
      </c>
      <c r="R358" s="58" t="s">
        <v>77</v>
      </c>
      <c r="S358" s="45"/>
      <c r="T358" s="45"/>
      <c r="U358" s="59">
        <v>963002989</v>
      </c>
      <c r="V358" s="58" t="s">
        <v>503</v>
      </c>
      <c r="W358" s="60" t="s">
        <v>154</v>
      </c>
      <c r="X358" s="58" t="s">
        <v>80</v>
      </c>
      <c r="Y358" s="61">
        <f>40362+(6*364)</f>
        <v>42546</v>
      </c>
      <c r="Z358" s="44">
        <f t="shared" ca="1" si="5"/>
        <v>8</v>
      </c>
    </row>
    <row r="359" spans="1:26" x14ac:dyDescent="0.25">
      <c r="A359" s="52" t="s">
        <v>667</v>
      </c>
      <c r="B359" s="52" t="s">
        <v>85</v>
      </c>
      <c r="C359" s="53">
        <v>71192</v>
      </c>
      <c r="D359" s="54">
        <v>69883</v>
      </c>
      <c r="K359" s="54"/>
      <c r="N359" s="62">
        <v>556003833</v>
      </c>
      <c r="O359" s="56">
        <v>9703451072</v>
      </c>
      <c r="P359" s="44" t="s">
        <v>92</v>
      </c>
      <c r="Q359" s="57">
        <v>77832</v>
      </c>
      <c r="R359" s="58" t="s">
        <v>71</v>
      </c>
      <c r="S359" s="45"/>
      <c r="T359" s="45"/>
      <c r="U359" s="59">
        <v>877008862</v>
      </c>
      <c r="V359" s="58" t="s">
        <v>637</v>
      </c>
      <c r="W359" s="60" t="s">
        <v>89</v>
      </c>
      <c r="X359" s="58" t="s">
        <v>107</v>
      </c>
      <c r="Y359" s="61">
        <f>36090+(6*364)</f>
        <v>38274</v>
      </c>
      <c r="Z359" s="44">
        <f t="shared" ca="1" si="5"/>
        <v>20</v>
      </c>
    </row>
    <row r="360" spans="1:26" x14ac:dyDescent="0.25">
      <c r="A360" s="52" t="s">
        <v>669</v>
      </c>
      <c r="B360" s="52" t="s">
        <v>85</v>
      </c>
      <c r="C360" s="53">
        <v>24275</v>
      </c>
      <c r="D360" s="54">
        <v>90323</v>
      </c>
      <c r="K360" s="54"/>
      <c r="N360" s="62">
        <v>557004736</v>
      </c>
      <c r="O360" s="56">
        <v>3032244880</v>
      </c>
      <c r="P360" s="44" t="s">
        <v>92</v>
      </c>
      <c r="Q360" s="57">
        <v>125183</v>
      </c>
      <c r="R360" s="58" t="s">
        <v>71</v>
      </c>
      <c r="S360" s="45"/>
      <c r="T360" s="45"/>
      <c r="U360" s="59">
        <v>876006698</v>
      </c>
      <c r="V360" s="58" t="s">
        <v>638</v>
      </c>
      <c r="W360" s="60" t="s">
        <v>73</v>
      </c>
      <c r="X360" s="58" t="s">
        <v>205</v>
      </c>
      <c r="Y360" s="61">
        <f>35273+(6*364)</f>
        <v>37457</v>
      </c>
      <c r="Z360" s="44">
        <f t="shared" ca="1" si="5"/>
        <v>22</v>
      </c>
    </row>
    <row r="361" spans="1:26" x14ac:dyDescent="0.25">
      <c r="A361" s="52" t="s">
        <v>670</v>
      </c>
      <c r="B361" s="52" t="s">
        <v>85</v>
      </c>
      <c r="C361" s="53">
        <v>67442</v>
      </c>
      <c r="D361" s="54">
        <v>76041</v>
      </c>
      <c r="K361" s="54"/>
      <c r="N361" s="62">
        <v>558006739</v>
      </c>
      <c r="O361" s="56">
        <v>9703123940</v>
      </c>
      <c r="P361" s="44" t="s">
        <v>99</v>
      </c>
      <c r="Q361" s="57">
        <v>96529</v>
      </c>
      <c r="R361" s="58" t="s">
        <v>71</v>
      </c>
      <c r="S361" s="45"/>
      <c r="T361" s="45"/>
      <c r="U361" s="59">
        <v>774000445</v>
      </c>
      <c r="V361" s="58" t="s">
        <v>639</v>
      </c>
      <c r="W361" s="60" t="s">
        <v>84</v>
      </c>
      <c r="X361" s="58" t="s">
        <v>90</v>
      </c>
      <c r="Y361" s="61">
        <f>41671+(6*364)</f>
        <v>43855</v>
      </c>
      <c r="Z361" s="44">
        <f t="shared" ca="1" si="5"/>
        <v>5</v>
      </c>
    </row>
    <row r="362" spans="1:26" x14ac:dyDescent="0.25">
      <c r="A362" s="52" t="s">
        <v>672</v>
      </c>
      <c r="B362" s="52" t="s">
        <v>85</v>
      </c>
      <c r="C362" s="53">
        <v>49561</v>
      </c>
      <c r="D362" s="54">
        <v>75901</v>
      </c>
      <c r="K362" s="54"/>
      <c r="N362" s="62">
        <v>559001393</v>
      </c>
      <c r="O362" s="56">
        <v>5051789943</v>
      </c>
      <c r="P362" s="44"/>
      <c r="Q362" s="57">
        <v>52394</v>
      </c>
      <c r="R362" s="58" t="s">
        <v>109</v>
      </c>
      <c r="S362" s="45"/>
      <c r="T362" s="45"/>
      <c r="U362" s="59">
        <v>702002749</v>
      </c>
      <c r="V362" s="58" t="s">
        <v>227</v>
      </c>
      <c r="W362" s="60" t="s">
        <v>79</v>
      </c>
      <c r="X362" s="58" t="s">
        <v>173</v>
      </c>
      <c r="Y362" s="61">
        <f>41077+(6*364)</f>
        <v>43261</v>
      </c>
      <c r="Z362" s="44">
        <f t="shared" ca="1" si="5"/>
        <v>6</v>
      </c>
    </row>
    <row r="363" spans="1:26" x14ac:dyDescent="0.25">
      <c r="A363" s="52" t="s">
        <v>673</v>
      </c>
      <c r="B363" s="52" t="s">
        <v>85</v>
      </c>
      <c r="C363" s="53">
        <v>30769</v>
      </c>
      <c r="D363" s="54">
        <v>114991</v>
      </c>
      <c r="K363" s="54"/>
      <c r="N363" s="62">
        <v>559005262</v>
      </c>
      <c r="O363" s="56">
        <v>5052881600</v>
      </c>
      <c r="P363" s="44" t="s">
        <v>99</v>
      </c>
      <c r="Q363" s="57">
        <v>50814</v>
      </c>
      <c r="R363" s="58" t="s">
        <v>77</v>
      </c>
      <c r="S363" s="45"/>
      <c r="T363" s="45"/>
      <c r="U363" s="59">
        <v>690006699</v>
      </c>
      <c r="V363" s="58" t="s">
        <v>371</v>
      </c>
      <c r="W363" s="60" t="s">
        <v>89</v>
      </c>
      <c r="X363" s="58" t="s">
        <v>96</v>
      </c>
      <c r="Y363" s="61">
        <f>36000+(6*364)</f>
        <v>38184</v>
      </c>
      <c r="Z363" s="44">
        <f t="shared" ca="1" si="5"/>
        <v>20</v>
      </c>
    </row>
    <row r="364" spans="1:26" x14ac:dyDescent="0.25">
      <c r="A364" s="52" t="s">
        <v>674</v>
      </c>
      <c r="B364" s="52" t="s">
        <v>85</v>
      </c>
      <c r="C364" s="53">
        <v>36628</v>
      </c>
      <c r="D364" s="54">
        <v>62754</v>
      </c>
      <c r="K364" s="54"/>
      <c r="N364" s="62">
        <v>559006477</v>
      </c>
      <c r="O364" s="56">
        <v>9703876146</v>
      </c>
      <c r="P364" s="44"/>
      <c r="Q364" s="57">
        <v>73605</v>
      </c>
      <c r="R364" s="58" t="s">
        <v>87</v>
      </c>
      <c r="S364" s="45"/>
      <c r="T364" s="45"/>
      <c r="U364" s="59">
        <v>430002752</v>
      </c>
      <c r="V364" s="58" t="s">
        <v>641</v>
      </c>
      <c r="W364" s="60" t="s">
        <v>89</v>
      </c>
      <c r="X364" s="58" t="s">
        <v>90</v>
      </c>
      <c r="Y364" s="61">
        <f>35555+(6*364)</f>
        <v>37739</v>
      </c>
      <c r="Z364" s="44">
        <f t="shared" ca="1" si="5"/>
        <v>21</v>
      </c>
    </row>
    <row r="365" spans="1:26" x14ac:dyDescent="0.25">
      <c r="A365" s="52" t="s">
        <v>676</v>
      </c>
      <c r="B365" s="52" t="s">
        <v>85</v>
      </c>
      <c r="C365" s="53">
        <v>82824</v>
      </c>
      <c r="D365" s="54">
        <v>70867</v>
      </c>
      <c r="K365" s="54"/>
      <c r="N365" s="62">
        <v>560005309</v>
      </c>
      <c r="O365" s="56">
        <v>7196224056</v>
      </c>
      <c r="P365" s="44"/>
      <c r="Q365" s="57">
        <v>30101</v>
      </c>
      <c r="R365" s="58" t="s">
        <v>87</v>
      </c>
      <c r="S365" s="45"/>
      <c r="T365" s="45"/>
      <c r="U365" s="59">
        <v>158001056</v>
      </c>
      <c r="V365" s="58" t="s">
        <v>642</v>
      </c>
      <c r="W365" s="60" t="s">
        <v>79</v>
      </c>
      <c r="X365" s="58" t="s">
        <v>107</v>
      </c>
      <c r="Y365" s="61">
        <f>35272+(6*364)</f>
        <v>37456</v>
      </c>
      <c r="Z365" s="44">
        <f t="shared" ca="1" si="5"/>
        <v>22</v>
      </c>
    </row>
    <row r="366" spans="1:26" x14ac:dyDescent="0.25">
      <c r="A366" s="52" t="s">
        <v>678</v>
      </c>
      <c r="B366" s="52" t="s">
        <v>85</v>
      </c>
      <c r="C366" s="53">
        <v>17412</v>
      </c>
      <c r="D366" s="54">
        <v>72482</v>
      </c>
      <c r="K366" s="54"/>
      <c r="N366" s="62">
        <v>560005993</v>
      </c>
      <c r="O366" s="56">
        <v>5055790872</v>
      </c>
      <c r="P366" s="44" t="s">
        <v>99</v>
      </c>
      <c r="Q366" s="57">
        <v>84305</v>
      </c>
      <c r="R366" s="58" t="s">
        <v>71</v>
      </c>
      <c r="S366" s="45"/>
      <c r="T366" s="45"/>
      <c r="U366" s="59">
        <v>610006240</v>
      </c>
      <c r="V366" s="58" t="s">
        <v>504</v>
      </c>
      <c r="W366" s="60" t="s">
        <v>154</v>
      </c>
      <c r="X366" s="58" t="s">
        <v>356</v>
      </c>
      <c r="Y366" s="61">
        <f>38967+(6*364)</f>
        <v>41151</v>
      </c>
      <c r="Z366" s="44">
        <f t="shared" ca="1" si="5"/>
        <v>12</v>
      </c>
    </row>
    <row r="367" spans="1:26" x14ac:dyDescent="0.25">
      <c r="A367" s="52" t="s">
        <v>680</v>
      </c>
      <c r="B367" s="52" t="s">
        <v>85</v>
      </c>
      <c r="C367" s="53">
        <v>82153</v>
      </c>
      <c r="D367" s="54">
        <v>45401</v>
      </c>
      <c r="K367" s="54"/>
      <c r="N367" s="62">
        <v>564006804</v>
      </c>
      <c r="O367" s="56">
        <v>5054747044</v>
      </c>
      <c r="P367" s="44"/>
      <c r="Q367" s="57">
        <v>36520</v>
      </c>
      <c r="R367" s="58" t="s">
        <v>87</v>
      </c>
      <c r="S367" s="45"/>
      <c r="T367" s="45"/>
      <c r="U367" s="59">
        <v>306009148</v>
      </c>
      <c r="V367" s="58" t="s">
        <v>620</v>
      </c>
      <c r="W367" s="60" t="s">
        <v>89</v>
      </c>
      <c r="X367" s="58" t="s">
        <v>159</v>
      </c>
      <c r="Y367" s="61">
        <f>38001+(6*364)</f>
        <v>40185</v>
      </c>
      <c r="Z367" s="44">
        <f t="shared" ca="1" si="5"/>
        <v>15</v>
      </c>
    </row>
    <row r="368" spans="1:26" x14ac:dyDescent="0.25">
      <c r="A368" s="52" t="s">
        <v>23</v>
      </c>
      <c r="B368" s="52" t="s">
        <v>85</v>
      </c>
      <c r="C368" s="53">
        <v>17933</v>
      </c>
      <c r="D368" s="54">
        <v>116899</v>
      </c>
      <c r="K368" s="54"/>
      <c r="N368" s="62">
        <v>565003438</v>
      </c>
      <c r="O368" s="56">
        <v>5057780776</v>
      </c>
      <c r="P368" s="44" t="s">
        <v>70</v>
      </c>
      <c r="Q368" s="57">
        <v>86340</v>
      </c>
      <c r="R368" s="58" t="s">
        <v>71</v>
      </c>
      <c r="S368" s="45"/>
      <c r="T368" s="45"/>
      <c r="U368" s="59">
        <v>333009660</v>
      </c>
      <c r="V368" s="58" t="s">
        <v>646</v>
      </c>
      <c r="W368" s="60" t="s">
        <v>73</v>
      </c>
      <c r="X368" s="58" t="s">
        <v>90</v>
      </c>
      <c r="Y368" s="61">
        <f>39968+(6*364)</f>
        <v>42152</v>
      </c>
      <c r="Z368" s="44">
        <f t="shared" ca="1" si="5"/>
        <v>9</v>
      </c>
    </row>
    <row r="369" spans="1:26" x14ac:dyDescent="0.25">
      <c r="A369" s="52" t="s">
        <v>683</v>
      </c>
      <c r="B369" s="52" t="s">
        <v>85</v>
      </c>
      <c r="C369" s="53">
        <v>43425</v>
      </c>
      <c r="D369" s="54">
        <v>75808</v>
      </c>
      <c r="K369" s="54"/>
      <c r="N369" s="62">
        <v>566006965</v>
      </c>
      <c r="O369" s="56">
        <v>7194127875</v>
      </c>
      <c r="P369" s="44"/>
      <c r="Q369" s="57">
        <v>53814</v>
      </c>
      <c r="R369" s="58" t="s">
        <v>87</v>
      </c>
      <c r="S369" s="45"/>
      <c r="T369" s="45"/>
      <c r="U369" s="59">
        <v>684004658</v>
      </c>
      <c r="V369" s="58" t="s">
        <v>648</v>
      </c>
      <c r="W369" s="60" t="s">
        <v>73</v>
      </c>
      <c r="X369" s="58" t="s">
        <v>173</v>
      </c>
      <c r="Y369" s="61">
        <f>38138+(6*364)</f>
        <v>40322</v>
      </c>
      <c r="Z369" s="44">
        <f t="shared" ca="1" si="5"/>
        <v>14</v>
      </c>
    </row>
    <row r="370" spans="1:26" x14ac:dyDescent="0.25">
      <c r="A370" s="52" t="s">
        <v>167</v>
      </c>
      <c r="B370" s="52" t="s">
        <v>147</v>
      </c>
      <c r="C370" s="53">
        <v>47430</v>
      </c>
      <c r="D370" s="54">
        <v>63531</v>
      </c>
      <c r="K370" s="54"/>
      <c r="N370" s="62">
        <v>567008445</v>
      </c>
      <c r="O370" s="56">
        <v>3037686976</v>
      </c>
      <c r="P370" s="44" t="s">
        <v>92</v>
      </c>
      <c r="Q370" s="57">
        <v>113706</v>
      </c>
      <c r="R370" s="58" t="s">
        <v>71</v>
      </c>
      <c r="S370" s="45"/>
      <c r="T370" s="45"/>
      <c r="U370" s="59">
        <v>567008445</v>
      </c>
      <c r="V370" s="58" t="s">
        <v>506</v>
      </c>
      <c r="W370" s="60" t="s">
        <v>89</v>
      </c>
      <c r="X370" s="58" t="s">
        <v>94</v>
      </c>
      <c r="Y370" s="61">
        <f>40971+(6*364)</f>
        <v>43155</v>
      </c>
      <c r="Z370" s="44">
        <f t="shared" ca="1" si="5"/>
        <v>6</v>
      </c>
    </row>
    <row r="371" spans="1:26" x14ac:dyDescent="0.25">
      <c r="A371" s="52" t="s">
        <v>301</v>
      </c>
      <c r="B371" s="52" t="s">
        <v>147</v>
      </c>
      <c r="C371" s="53">
        <v>91126</v>
      </c>
      <c r="D371" s="54">
        <v>77270</v>
      </c>
      <c r="K371" s="54"/>
      <c r="N371" s="62">
        <v>568004821</v>
      </c>
      <c r="O371" s="56">
        <v>3031487375</v>
      </c>
      <c r="P371" s="44" t="s">
        <v>92</v>
      </c>
      <c r="Q371" s="57">
        <v>124361</v>
      </c>
      <c r="R371" s="58" t="s">
        <v>77</v>
      </c>
      <c r="S371" s="45"/>
      <c r="T371" s="45"/>
      <c r="U371" s="59">
        <v>212002209</v>
      </c>
      <c r="V371" s="58" t="s">
        <v>651</v>
      </c>
      <c r="W371" s="60" t="s">
        <v>154</v>
      </c>
      <c r="X371" s="58" t="s">
        <v>80</v>
      </c>
      <c r="Y371" s="61">
        <f>41095+(6*364)</f>
        <v>43279</v>
      </c>
      <c r="Z371" s="44">
        <f t="shared" ca="1" si="5"/>
        <v>6</v>
      </c>
    </row>
    <row r="372" spans="1:26" x14ac:dyDescent="0.25">
      <c r="A372" s="52" t="s">
        <v>312</v>
      </c>
      <c r="B372" s="52" t="s">
        <v>147</v>
      </c>
      <c r="C372" s="53">
        <v>22528</v>
      </c>
      <c r="D372" s="54">
        <v>134653</v>
      </c>
      <c r="K372" s="54"/>
      <c r="N372" s="62">
        <v>568007779</v>
      </c>
      <c r="O372" s="56">
        <v>7192888726</v>
      </c>
      <c r="P372" s="44" t="s">
        <v>92</v>
      </c>
      <c r="Q372" s="57">
        <v>49153</v>
      </c>
      <c r="R372" s="58" t="s">
        <v>71</v>
      </c>
      <c r="S372" s="45"/>
      <c r="T372" s="45"/>
      <c r="U372" s="59">
        <v>833007568</v>
      </c>
      <c r="V372" s="58" t="s">
        <v>508</v>
      </c>
      <c r="W372" s="60" t="s">
        <v>73</v>
      </c>
      <c r="X372" s="58" t="s">
        <v>147</v>
      </c>
      <c r="Y372" s="61">
        <f>35828+(6*364)</f>
        <v>38012</v>
      </c>
      <c r="Z372" s="44">
        <f t="shared" ca="1" si="5"/>
        <v>21</v>
      </c>
    </row>
    <row r="373" spans="1:26" x14ac:dyDescent="0.25">
      <c r="A373" s="52" t="s">
        <v>334</v>
      </c>
      <c r="B373" s="52" t="s">
        <v>147</v>
      </c>
      <c r="C373" s="53">
        <v>48447</v>
      </c>
      <c r="D373" s="54">
        <v>51556</v>
      </c>
      <c r="K373" s="54"/>
      <c r="N373" s="62">
        <v>572001225</v>
      </c>
      <c r="O373" s="56">
        <v>7192778445</v>
      </c>
      <c r="P373" s="44"/>
      <c r="Q373" s="57">
        <v>65493</v>
      </c>
      <c r="R373" s="58" t="s">
        <v>87</v>
      </c>
      <c r="S373" s="45"/>
      <c r="T373" s="45"/>
      <c r="U373" s="59">
        <v>824003038</v>
      </c>
      <c r="V373" s="58" t="s">
        <v>643</v>
      </c>
      <c r="W373" s="60" t="s">
        <v>89</v>
      </c>
      <c r="X373" s="58" t="s">
        <v>74</v>
      </c>
      <c r="Y373" s="61">
        <f>39212+(6*364)</f>
        <v>41396</v>
      </c>
      <c r="Z373" s="44">
        <f t="shared" ca="1" si="5"/>
        <v>11</v>
      </c>
    </row>
    <row r="374" spans="1:26" x14ac:dyDescent="0.25">
      <c r="A374" s="52" t="s">
        <v>363</v>
      </c>
      <c r="B374" s="52" t="s">
        <v>147</v>
      </c>
      <c r="C374" s="53">
        <v>95237</v>
      </c>
      <c r="D374" s="54">
        <v>78515</v>
      </c>
      <c r="K374" s="54"/>
      <c r="N374" s="62">
        <v>572001257</v>
      </c>
      <c r="O374" s="56">
        <v>3038217409</v>
      </c>
      <c r="P374" s="44"/>
      <c r="Q374" s="57">
        <v>40532</v>
      </c>
      <c r="R374" s="58" t="s">
        <v>109</v>
      </c>
      <c r="S374" s="45"/>
      <c r="T374" s="45"/>
      <c r="U374" s="59">
        <v>190006794</v>
      </c>
      <c r="V374" s="58" t="s">
        <v>655</v>
      </c>
      <c r="W374" s="60" t="s">
        <v>73</v>
      </c>
      <c r="X374" s="58" t="s">
        <v>173</v>
      </c>
      <c r="Y374" s="61">
        <f>35635+(6*364)</f>
        <v>37819</v>
      </c>
      <c r="Z374" s="44">
        <f t="shared" ca="1" si="5"/>
        <v>21</v>
      </c>
    </row>
    <row r="375" spans="1:26" x14ac:dyDescent="0.25">
      <c r="A375" s="52" t="s">
        <v>444</v>
      </c>
      <c r="B375" s="52" t="s">
        <v>147</v>
      </c>
      <c r="C375" s="53">
        <v>49759</v>
      </c>
      <c r="D375" s="54">
        <v>78738</v>
      </c>
      <c r="K375" s="54"/>
      <c r="N375" s="62">
        <v>573008439</v>
      </c>
      <c r="O375" s="56">
        <v>5056196095</v>
      </c>
      <c r="P375" s="44"/>
      <c r="Q375" s="57">
        <v>38136</v>
      </c>
      <c r="R375" s="58" t="s">
        <v>87</v>
      </c>
      <c r="S375" s="45"/>
      <c r="T375" s="45"/>
      <c r="U375" s="59">
        <v>141001501</v>
      </c>
      <c r="V375" s="58" t="s">
        <v>509</v>
      </c>
      <c r="W375" s="60" t="s">
        <v>154</v>
      </c>
      <c r="X375" s="58" t="s">
        <v>85</v>
      </c>
      <c r="Y375" s="61">
        <f>35171+(6*364)</f>
        <v>37355</v>
      </c>
      <c r="Z375" s="44">
        <f t="shared" ca="1" si="5"/>
        <v>22</v>
      </c>
    </row>
    <row r="376" spans="1:26" x14ac:dyDescent="0.25">
      <c r="A376" s="52" t="s">
        <v>473</v>
      </c>
      <c r="B376" s="52" t="s">
        <v>147</v>
      </c>
      <c r="C376" s="53">
        <v>98535</v>
      </c>
      <c r="D376" s="54">
        <v>85478</v>
      </c>
      <c r="K376" s="54"/>
      <c r="N376" s="62">
        <v>574004575</v>
      </c>
      <c r="O376" s="56">
        <v>9704663056</v>
      </c>
      <c r="P376" s="44" t="s">
        <v>92</v>
      </c>
      <c r="Q376" s="57">
        <v>100063</v>
      </c>
      <c r="R376" s="58" t="s">
        <v>71</v>
      </c>
      <c r="S376" s="45"/>
      <c r="T376" s="45"/>
      <c r="U376" s="59">
        <v>862006869</v>
      </c>
      <c r="V376" s="58" t="s">
        <v>658</v>
      </c>
      <c r="W376" s="60" t="s">
        <v>73</v>
      </c>
      <c r="X376" s="58" t="s">
        <v>94</v>
      </c>
      <c r="Y376" s="61">
        <f>41370+(6*364)</f>
        <v>43554</v>
      </c>
      <c r="Z376" s="44">
        <f t="shared" ca="1" si="5"/>
        <v>5</v>
      </c>
    </row>
    <row r="377" spans="1:26" x14ac:dyDescent="0.25">
      <c r="A377" s="52" t="s">
        <v>485</v>
      </c>
      <c r="B377" s="52" t="s">
        <v>147</v>
      </c>
      <c r="C377" s="53">
        <v>27852</v>
      </c>
      <c r="D377" s="54">
        <v>132454</v>
      </c>
      <c r="K377" s="54"/>
      <c r="N377" s="62">
        <v>575008183</v>
      </c>
      <c r="O377" s="56">
        <v>7196795200</v>
      </c>
      <c r="P377" s="44"/>
      <c r="Q377" s="57">
        <v>76222</v>
      </c>
      <c r="R377" s="58" t="s">
        <v>87</v>
      </c>
      <c r="S377" s="45"/>
      <c r="T377" s="45"/>
      <c r="U377" s="59">
        <v>948009941</v>
      </c>
      <c r="V377" s="58" t="s">
        <v>660</v>
      </c>
      <c r="W377" s="60" t="s">
        <v>73</v>
      </c>
      <c r="X377" s="58" t="s">
        <v>205</v>
      </c>
      <c r="Y377" s="61">
        <f>35082+(6*364)</f>
        <v>37266</v>
      </c>
      <c r="Z377" s="44">
        <f t="shared" ca="1" si="5"/>
        <v>23</v>
      </c>
    </row>
    <row r="378" spans="1:26" x14ac:dyDescent="0.25">
      <c r="A378" s="52" t="s">
        <v>487</v>
      </c>
      <c r="B378" s="52" t="s">
        <v>147</v>
      </c>
      <c r="C378" s="53">
        <v>16720</v>
      </c>
      <c r="D378" s="54">
        <v>46405</v>
      </c>
      <c r="K378" s="54"/>
      <c r="N378" s="62">
        <v>578006359</v>
      </c>
      <c r="O378" s="56">
        <v>3035858234</v>
      </c>
      <c r="P378" s="44" t="s">
        <v>99</v>
      </c>
      <c r="Q378" s="57">
        <v>123790</v>
      </c>
      <c r="R378" s="58" t="s">
        <v>71</v>
      </c>
      <c r="S378" s="45"/>
      <c r="T378" s="45"/>
      <c r="U378" s="59">
        <v>675009095</v>
      </c>
      <c r="V378" s="58" t="s">
        <v>662</v>
      </c>
      <c r="W378" s="60" t="s">
        <v>89</v>
      </c>
      <c r="X378" s="58" t="s">
        <v>85</v>
      </c>
      <c r="Y378" s="61">
        <f>42133+(6*364)</f>
        <v>44317</v>
      </c>
      <c r="Z378" s="44">
        <f t="shared" ca="1" si="5"/>
        <v>3</v>
      </c>
    </row>
    <row r="379" spans="1:26" x14ac:dyDescent="0.25">
      <c r="A379" s="52" t="s">
        <v>561</v>
      </c>
      <c r="B379" s="52" t="s">
        <v>147</v>
      </c>
      <c r="C379" s="53">
        <v>53302</v>
      </c>
      <c r="D379" s="54">
        <v>112096</v>
      </c>
      <c r="K379" s="54"/>
      <c r="N379" s="62">
        <v>579001953</v>
      </c>
      <c r="O379" s="56">
        <v>9706514650</v>
      </c>
      <c r="P379" s="44" t="s">
        <v>70</v>
      </c>
      <c r="Q379" s="57">
        <v>101285</v>
      </c>
      <c r="R379" s="58" t="s">
        <v>77</v>
      </c>
      <c r="S379" s="45"/>
      <c r="T379" s="45"/>
      <c r="U379" s="59">
        <v>320008845</v>
      </c>
      <c r="V379" s="58" t="s">
        <v>416</v>
      </c>
      <c r="W379" s="60" t="s">
        <v>89</v>
      </c>
      <c r="X379" s="58" t="s">
        <v>94</v>
      </c>
      <c r="Y379" s="61">
        <f>39328+(6*364)</f>
        <v>41512</v>
      </c>
      <c r="Z379" s="44">
        <f t="shared" ca="1" si="5"/>
        <v>11</v>
      </c>
    </row>
    <row r="380" spans="1:26" x14ac:dyDescent="0.25">
      <c r="A380" s="52" t="s">
        <v>689</v>
      </c>
      <c r="B380" s="52" t="s">
        <v>147</v>
      </c>
      <c r="C380" s="53">
        <v>80099</v>
      </c>
      <c r="D380" s="54">
        <v>48954</v>
      </c>
      <c r="K380" s="54"/>
      <c r="N380" s="62">
        <v>579008837</v>
      </c>
      <c r="O380" s="56">
        <v>5056228199</v>
      </c>
      <c r="P380" s="44"/>
      <c r="Q380" s="57">
        <v>58412</v>
      </c>
      <c r="R380" s="58" t="s">
        <v>87</v>
      </c>
      <c r="S380" s="45"/>
      <c r="T380" s="45"/>
      <c r="U380" s="59">
        <v>811008190</v>
      </c>
      <c r="V380" s="58" t="s">
        <v>665</v>
      </c>
      <c r="W380" s="60" t="s">
        <v>79</v>
      </c>
      <c r="X380" s="58" t="s">
        <v>90</v>
      </c>
      <c r="Y380" s="61">
        <f>36944+(6*364)</f>
        <v>39128</v>
      </c>
      <c r="Z380" s="44">
        <f t="shared" ca="1" si="5"/>
        <v>18</v>
      </c>
    </row>
    <row r="381" spans="1:26" x14ac:dyDescent="0.25">
      <c r="A381" s="52" t="s">
        <v>651</v>
      </c>
      <c r="B381" s="52" t="s">
        <v>147</v>
      </c>
      <c r="C381" s="53">
        <v>56638</v>
      </c>
      <c r="D381" s="54">
        <v>52996</v>
      </c>
      <c r="K381" s="54"/>
      <c r="N381" s="62">
        <v>580008329</v>
      </c>
      <c r="O381" s="56">
        <v>3035327906</v>
      </c>
      <c r="P381" s="44" t="s">
        <v>99</v>
      </c>
      <c r="Q381" s="57">
        <v>55970</v>
      </c>
      <c r="R381" s="58" t="s">
        <v>77</v>
      </c>
      <c r="S381" s="45"/>
      <c r="T381" s="45"/>
      <c r="U381" s="59">
        <v>438002519</v>
      </c>
      <c r="V381" s="58" t="s">
        <v>111</v>
      </c>
      <c r="W381" s="60" t="s">
        <v>79</v>
      </c>
      <c r="X381" s="58" t="s">
        <v>90</v>
      </c>
      <c r="Y381" s="61">
        <f>39544+(6*364)</f>
        <v>41728</v>
      </c>
      <c r="Z381" s="44">
        <f t="shared" ca="1" si="5"/>
        <v>10</v>
      </c>
    </row>
    <row r="382" spans="1:26" x14ac:dyDescent="0.25">
      <c r="A382" s="52" t="s">
        <v>665</v>
      </c>
      <c r="B382" s="52" t="s">
        <v>147</v>
      </c>
      <c r="C382" s="53">
        <v>88086</v>
      </c>
      <c r="D382" s="54">
        <v>106172</v>
      </c>
      <c r="K382" s="54"/>
      <c r="N382" s="62">
        <v>580008729</v>
      </c>
      <c r="O382" s="56">
        <v>7198561246</v>
      </c>
      <c r="P382" s="44" t="s">
        <v>99</v>
      </c>
      <c r="Q382" s="57">
        <v>66084</v>
      </c>
      <c r="R382" s="58" t="s">
        <v>71</v>
      </c>
      <c r="S382" s="45"/>
      <c r="T382" s="45"/>
      <c r="U382" s="59">
        <v>793006357</v>
      </c>
      <c r="V382" s="58" t="s">
        <v>668</v>
      </c>
      <c r="W382" s="60" t="s">
        <v>89</v>
      </c>
      <c r="X382" s="58" t="s">
        <v>104</v>
      </c>
      <c r="Y382" s="61">
        <f>36825+(6*364)</f>
        <v>39009</v>
      </c>
      <c r="Z382" s="44">
        <f t="shared" ca="1" si="5"/>
        <v>18</v>
      </c>
    </row>
    <row r="383" spans="1:26" x14ac:dyDescent="0.25">
      <c r="A383" s="52" t="s">
        <v>687</v>
      </c>
      <c r="B383" s="52" t="s">
        <v>147</v>
      </c>
      <c r="C383" s="53">
        <v>57414</v>
      </c>
      <c r="D383" s="54">
        <v>72759</v>
      </c>
      <c r="K383" s="54"/>
      <c r="N383" s="62">
        <v>581000916</v>
      </c>
      <c r="O383" s="56">
        <v>3035043141</v>
      </c>
      <c r="P383" s="44" t="s">
        <v>99</v>
      </c>
      <c r="Q383" s="57">
        <v>118284</v>
      </c>
      <c r="R383" s="58" t="s">
        <v>71</v>
      </c>
      <c r="S383" s="45"/>
      <c r="T383" s="45"/>
      <c r="U383" s="59">
        <v>620005638</v>
      </c>
      <c r="V383" s="58" t="s">
        <v>511</v>
      </c>
      <c r="W383" s="60" t="s">
        <v>89</v>
      </c>
      <c r="X383" s="58" t="s">
        <v>107</v>
      </c>
      <c r="Y383" s="61">
        <f>42425+(6*364)</f>
        <v>44609</v>
      </c>
      <c r="Z383" s="44">
        <f t="shared" ca="1" si="5"/>
        <v>3</v>
      </c>
    </row>
    <row r="384" spans="1:26" x14ac:dyDescent="0.25">
      <c r="A384" s="52" t="s">
        <v>692</v>
      </c>
      <c r="B384" s="52" t="s">
        <v>147</v>
      </c>
      <c r="C384" s="53">
        <v>45520</v>
      </c>
      <c r="D384" s="54">
        <v>111134</v>
      </c>
      <c r="K384" s="54"/>
      <c r="N384" s="62">
        <v>581004744</v>
      </c>
      <c r="O384" s="56">
        <v>9702005810</v>
      </c>
      <c r="P384" s="44"/>
      <c r="Q384" s="57">
        <v>56712</v>
      </c>
      <c r="R384" s="58" t="s">
        <v>87</v>
      </c>
      <c r="S384" s="45"/>
      <c r="T384" s="45"/>
      <c r="U384" s="59">
        <v>257004341</v>
      </c>
      <c r="V384" s="58" t="s">
        <v>671</v>
      </c>
      <c r="W384" s="60" t="s">
        <v>154</v>
      </c>
      <c r="X384" s="58" t="s">
        <v>173</v>
      </c>
      <c r="Y384" s="61">
        <f>39739+(6*364)</f>
        <v>41923</v>
      </c>
      <c r="Z384" s="44">
        <f t="shared" ca="1" si="5"/>
        <v>10</v>
      </c>
    </row>
    <row r="385" spans="1:26" x14ac:dyDescent="0.25">
      <c r="A385" s="52" t="s">
        <v>693</v>
      </c>
      <c r="B385" s="52" t="s">
        <v>147</v>
      </c>
      <c r="C385" s="53">
        <v>80951</v>
      </c>
      <c r="D385" s="54">
        <v>66140</v>
      </c>
      <c r="K385" s="54"/>
      <c r="N385" s="62">
        <v>582003779</v>
      </c>
      <c r="O385" s="56">
        <v>9701868104</v>
      </c>
      <c r="P385" s="44" t="s">
        <v>92</v>
      </c>
      <c r="Q385" s="57">
        <v>69295</v>
      </c>
      <c r="R385" s="58" t="s">
        <v>71</v>
      </c>
      <c r="S385" s="45"/>
      <c r="T385" s="45"/>
      <c r="U385" s="59">
        <v>204000932</v>
      </c>
      <c r="V385" s="58" t="s">
        <v>644</v>
      </c>
      <c r="W385" s="60" t="s">
        <v>79</v>
      </c>
      <c r="X385" s="58" t="s">
        <v>90</v>
      </c>
      <c r="Y385" s="61">
        <f>37435+(6*364)</f>
        <v>39619</v>
      </c>
      <c r="Z385" s="44">
        <f t="shared" ca="1" si="5"/>
        <v>16</v>
      </c>
    </row>
    <row r="386" spans="1:26" x14ac:dyDescent="0.25">
      <c r="A386" s="52" t="s">
        <v>695</v>
      </c>
      <c r="B386" s="52" t="s">
        <v>147</v>
      </c>
      <c r="C386" s="53">
        <v>85083</v>
      </c>
      <c r="D386" s="54">
        <v>120274</v>
      </c>
      <c r="K386" s="54"/>
      <c r="N386" s="62">
        <v>586008430</v>
      </c>
      <c r="O386" s="56">
        <v>5056335284</v>
      </c>
      <c r="P386" s="44"/>
      <c r="Q386" s="57">
        <v>48721</v>
      </c>
      <c r="R386" s="58" t="s">
        <v>87</v>
      </c>
      <c r="S386" s="45"/>
      <c r="T386" s="45"/>
      <c r="U386" s="59">
        <v>501005712</v>
      </c>
      <c r="V386" s="58" t="s">
        <v>645</v>
      </c>
      <c r="W386" s="60" t="s">
        <v>89</v>
      </c>
      <c r="X386" s="58" t="s">
        <v>107</v>
      </c>
      <c r="Y386" s="61">
        <f>37766+(6*364)</f>
        <v>39950</v>
      </c>
      <c r="Z386" s="44">
        <f t="shared" ref="Z386:Z449" ca="1" si="6">DATEDIF(Y386,TODAY(),"Y")</f>
        <v>15</v>
      </c>
    </row>
    <row r="387" spans="1:26" x14ac:dyDescent="0.25">
      <c r="A387" s="52" t="s">
        <v>696</v>
      </c>
      <c r="B387" s="52" t="s">
        <v>147</v>
      </c>
      <c r="C387" s="53">
        <v>90470</v>
      </c>
      <c r="D387" s="54">
        <v>25762</v>
      </c>
      <c r="K387" s="54"/>
      <c r="N387" s="62">
        <v>587007699</v>
      </c>
      <c r="O387" s="56">
        <v>3033122603</v>
      </c>
      <c r="P387" s="44" t="s">
        <v>92</v>
      </c>
      <c r="Q387" s="57">
        <v>93687</v>
      </c>
      <c r="R387" s="58" t="s">
        <v>71</v>
      </c>
      <c r="S387" s="45"/>
      <c r="T387" s="45"/>
      <c r="U387" s="59">
        <v>799004902</v>
      </c>
      <c r="V387" s="58" t="s">
        <v>675</v>
      </c>
      <c r="W387" s="60" t="s">
        <v>89</v>
      </c>
      <c r="X387" s="58" t="s">
        <v>85</v>
      </c>
      <c r="Y387" s="61">
        <f>42275+(6*364)</f>
        <v>44459</v>
      </c>
      <c r="Z387" s="44">
        <f t="shared" ca="1" si="6"/>
        <v>3</v>
      </c>
    </row>
    <row r="388" spans="1:26" x14ac:dyDescent="0.25">
      <c r="A388" s="52" t="s">
        <v>697</v>
      </c>
      <c r="B388" s="52" t="s">
        <v>147</v>
      </c>
      <c r="C388" s="53">
        <v>17876</v>
      </c>
      <c r="D388" s="54">
        <v>114336</v>
      </c>
      <c r="K388" s="54"/>
      <c r="N388" s="62">
        <v>588006944</v>
      </c>
      <c r="O388" s="56">
        <v>3034924736</v>
      </c>
      <c r="P388" s="44"/>
      <c r="Q388" s="57">
        <v>25992</v>
      </c>
      <c r="R388" s="58" t="s">
        <v>87</v>
      </c>
      <c r="S388" s="45"/>
      <c r="T388" s="45"/>
      <c r="U388" s="59">
        <v>945004471</v>
      </c>
      <c r="V388" s="58" t="s">
        <v>677</v>
      </c>
      <c r="W388" s="60" t="s">
        <v>89</v>
      </c>
      <c r="X388" s="58" t="s">
        <v>159</v>
      </c>
      <c r="Y388" s="61">
        <f>37883+(6*364)</f>
        <v>40067</v>
      </c>
      <c r="Z388" s="44">
        <f t="shared" ca="1" si="6"/>
        <v>15</v>
      </c>
    </row>
    <row r="389" spans="1:26" x14ac:dyDescent="0.25">
      <c r="A389" s="52" t="s">
        <v>698</v>
      </c>
      <c r="B389" s="52" t="s">
        <v>147</v>
      </c>
      <c r="C389" s="53">
        <v>32032</v>
      </c>
      <c r="D389" s="54">
        <v>115908</v>
      </c>
      <c r="K389" s="54"/>
      <c r="N389" s="62">
        <v>589004178</v>
      </c>
      <c r="O389" s="56">
        <v>7192238535</v>
      </c>
      <c r="P389" s="44" t="s">
        <v>92</v>
      </c>
      <c r="Q389" s="57">
        <v>46849</v>
      </c>
      <c r="R389" s="58" t="s">
        <v>71</v>
      </c>
      <c r="S389" s="45"/>
      <c r="T389" s="45"/>
      <c r="U389" s="59">
        <v>424007958</v>
      </c>
      <c r="V389" s="58" t="s">
        <v>679</v>
      </c>
      <c r="W389" s="60" t="s">
        <v>89</v>
      </c>
      <c r="X389" s="58" t="s">
        <v>94</v>
      </c>
      <c r="Y389" s="61">
        <f>35384+(6*364)</f>
        <v>37568</v>
      </c>
      <c r="Z389" s="44">
        <f t="shared" ca="1" si="6"/>
        <v>22</v>
      </c>
    </row>
    <row r="390" spans="1:26" x14ac:dyDescent="0.25">
      <c r="A390" s="52" t="s">
        <v>700</v>
      </c>
      <c r="B390" s="52" t="s">
        <v>147</v>
      </c>
      <c r="C390" s="53">
        <v>67776</v>
      </c>
      <c r="D390" s="54">
        <v>97106</v>
      </c>
      <c r="K390" s="54"/>
      <c r="N390" s="62">
        <v>590008260</v>
      </c>
      <c r="O390" s="56">
        <v>5058865267</v>
      </c>
      <c r="P390" s="44"/>
      <c r="Q390" s="57">
        <v>78357</v>
      </c>
      <c r="R390" s="58" t="s">
        <v>87</v>
      </c>
      <c r="S390" s="45"/>
      <c r="T390" s="45"/>
      <c r="U390" s="59">
        <v>446005905</v>
      </c>
      <c r="V390" s="58" t="s">
        <v>681</v>
      </c>
      <c r="W390" s="60" t="s">
        <v>79</v>
      </c>
      <c r="X390" s="58" t="s">
        <v>137</v>
      </c>
      <c r="Y390" s="61">
        <f>38817+(6*364)</f>
        <v>41001</v>
      </c>
      <c r="Z390" s="44">
        <f t="shared" ca="1" si="6"/>
        <v>12</v>
      </c>
    </row>
    <row r="391" spans="1:26" x14ac:dyDescent="0.25">
      <c r="A391" s="52" t="s">
        <v>354</v>
      </c>
      <c r="B391" s="52" t="s">
        <v>129</v>
      </c>
      <c r="C391" s="53">
        <v>88615</v>
      </c>
      <c r="D391" s="54">
        <v>110960</v>
      </c>
      <c r="K391" s="54"/>
      <c r="N391" s="62">
        <v>591008002</v>
      </c>
      <c r="O391" s="56">
        <v>3031362796</v>
      </c>
      <c r="P391" s="44"/>
      <c r="Q391" s="57">
        <v>93425</v>
      </c>
      <c r="R391" s="58" t="s">
        <v>87</v>
      </c>
      <c r="S391" s="45"/>
      <c r="T391" s="45"/>
      <c r="U391" s="59">
        <v>272002380</v>
      </c>
      <c r="V391" s="58" t="s">
        <v>682</v>
      </c>
      <c r="W391" s="60" t="s">
        <v>101</v>
      </c>
      <c r="X391" s="58" t="s">
        <v>159</v>
      </c>
      <c r="Y391" s="61">
        <f>38100+(6*364)</f>
        <v>40284</v>
      </c>
      <c r="Z391" s="44">
        <f t="shared" ca="1" si="6"/>
        <v>14</v>
      </c>
    </row>
    <row r="392" spans="1:26" x14ac:dyDescent="0.25">
      <c r="A392" s="52" t="s">
        <v>703</v>
      </c>
      <c r="B392" s="52" t="s">
        <v>129</v>
      </c>
      <c r="C392" s="53">
        <v>60335</v>
      </c>
      <c r="D392" s="54">
        <v>98576</v>
      </c>
      <c r="K392" s="54"/>
      <c r="N392" s="62">
        <v>593006512</v>
      </c>
      <c r="O392" s="56">
        <v>7198451642</v>
      </c>
      <c r="P392" s="44" t="s">
        <v>92</v>
      </c>
      <c r="Q392" s="57">
        <v>107416</v>
      </c>
      <c r="R392" s="58" t="s">
        <v>71</v>
      </c>
      <c r="S392" s="45"/>
      <c r="T392" s="45"/>
      <c r="U392" s="59">
        <v>714009196</v>
      </c>
      <c r="V392" s="58" t="s">
        <v>684</v>
      </c>
      <c r="W392" s="60" t="s">
        <v>79</v>
      </c>
      <c r="X392" s="58" t="s">
        <v>94</v>
      </c>
      <c r="Y392" s="61">
        <f>35595+(6*364)</f>
        <v>37779</v>
      </c>
      <c r="Z392" s="44">
        <f t="shared" ca="1" si="6"/>
        <v>21</v>
      </c>
    </row>
    <row r="393" spans="1:26" x14ac:dyDescent="0.25">
      <c r="A393" s="52" t="s">
        <v>705</v>
      </c>
      <c r="B393" s="52" t="s">
        <v>129</v>
      </c>
      <c r="C393" s="53">
        <v>42660</v>
      </c>
      <c r="D393" s="54">
        <v>56489</v>
      </c>
      <c r="K393" s="54"/>
      <c r="N393" s="62">
        <v>595000970</v>
      </c>
      <c r="O393" s="56">
        <v>3036532463</v>
      </c>
      <c r="P393" s="44"/>
      <c r="Q393" s="57">
        <v>47849</v>
      </c>
      <c r="R393" s="58" t="s">
        <v>109</v>
      </c>
      <c r="S393" s="45"/>
      <c r="T393" s="45"/>
      <c r="U393" s="59">
        <v>884003350</v>
      </c>
      <c r="V393" s="58" t="s">
        <v>647</v>
      </c>
      <c r="W393" s="60" t="s">
        <v>73</v>
      </c>
      <c r="X393" s="58" t="s">
        <v>147</v>
      </c>
      <c r="Y393" s="61">
        <f>37045+(6*364)</f>
        <v>39229</v>
      </c>
      <c r="Z393" s="44">
        <f t="shared" ca="1" si="6"/>
        <v>17</v>
      </c>
    </row>
    <row r="394" spans="1:26" x14ac:dyDescent="0.25">
      <c r="A394" s="52" t="s">
        <v>706</v>
      </c>
      <c r="B394" s="52" t="s">
        <v>129</v>
      </c>
      <c r="C394" s="53">
        <v>92039</v>
      </c>
      <c r="D394" s="54">
        <v>71841</v>
      </c>
      <c r="K394" s="54"/>
      <c r="N394" s="62">
        <v>598000974</v>
      </c>
      <c r="O394" s="56">
        <v>5056503334</v>
      </c>
      <c r="P394" s="44" t="s">
        <v>99</v>
      </c>
      <c r="Q394" s="57">
        <v>63541</v>
      </c>
      <c r="R394" s="58" t="s">
        <v>71</v>
      </c>
      <c r="S394" s="45"/>
      <c r="T394" s="45"/>
      <c r="U394" s="59">
        <v>448003115</v>
      </c>
      <c r="V394" s="58" t="s">
        <v>685</v>
      </c>
      <c r="W394" s="60" t="s">
        <v>89</v>
      </c>
      <c r="X394" s="58" t="s">
        <v>107</v>
      </c>
      <c r="Y394" s="61">
        <f>37010+(6*364)</f>
        <v>39194</v>
      </c>
      <c r="Z394" s="44">
        <f t="shared" ca="1" si="6"/>
        <v>17</v>
      </c>
    </row>
    <row r="395" spans="1:26" x14ac:dyDescent="0.25">
      <c r="A395" s="52" t="s">
        <v>103</v>
      </c>
      <c r="B395" s="52" t="s">
        <v>104</v>
      </c>
      <c r="C395" s="53">
        <v>69040</v>
      </c>
      <c r="D395" s="54">
        <v>96072</v>
      </c>
      <c r="K395" s="54"/>
      <c r="N395" s="62">
        <v>599003031</v>
      </c>
      <c r="O395" s="56">
        <v>3035399385</v>
      </c>
      <c r="P395" s="44" t="s">
        <v>92</v>
      </c>
      <c r="Q395" s="57">
        <v>115221</v>
      </c>
      <c r="R395" s="58" t="s">
        <v>71</v>
      </c>
      <c r="S395" s="45"/>
      <c r="T395" s="45"/>
      <c r="U395" s="59">
        <v>299000265</v>
      </c>
      <c r="V395" s="58" t="s">
        <v>372</v>
      </c>
      <c r="W395" s="60" t="s">
        <v>84</v>
      </c>
      <c r="X395" s="58" t="s">
        <v>205</v>
      </c>
      <c r="Y395" s="61">
        <f>35437+(6*364)</f>
        <v>37621</v>
      </c>
      <c r="Z395" s="44">
        <f t="shared" ca="1" si="6"/>
        <v>22</v>
      </c>
    </row>
    <row r="396" spans="1:26" x14ac:dyDescent="0.25">
      <c r="A396" s="52" t="s">
        <v>168</v>
      </c>
      <c r="B396" s="52" t="s">
        <v>104</v>
      </c>
      <c r="C396" s="53">
        <v>85315</v>
      </c>
      <c r="D396" s="54">
        <v>78157</v>
      </c>
      <c r="K396" s="54"/>
      <c r="N396" s="62">
        <v>601006235</v>
      </c>
      <c r="O396" s="56">
        <v>9706555049</v>
      </c>
      <c r="P396" s="44" t="s">
        <v>92</v>
      </c>
      <c r="Q396" s="57">
        <v>68854</v>
      </c>
      <c r="R396" s="58" t="s">
        <v>71</v>
      </c>
      <c r="S396" s="45"/>
      <c r="T396" s="45"/>
      <c r="U396" s="59">
        <v>337008802</v>
      </c>
      <c r="V396" s="58" t="s">
        <v>515</v>
      </c>
      <c r="W396" s="60" t="s">
        <v>73</v>
      </c>
      <c r="X396" s="58" t="s">
        <v>94</v>
      </c>
      <c r="Y396" s="61">
        <f>42362+(6*364)</f>
        <v>44546</v>
      </c>
      <c r="Z396" s="44">
        <f t="shared" ca="1" si="6"/>
        <v>3</v>
      </c>
    </row>
    <row r="397" spans="1:26" x14ac:dyDescent="0.25">
      <c r="A397" s="52" t="s">
        <v>319</v>
      </c>
      <c r="B397" s="52" t="s">
        <v>104</v>
      </c>
      <c r="C397" s="53">
        <v>11899</v>
      </c>
      <c r="D397" s="54">
        <v>70037</v>
      </c>
      <c r="K397" s="54"/>
      <c r="N397" s="62">
        <v>603000433</v>
      </c>
      <c r="O397" s="56">
        <v>9703708610</v>
      </c>
      <c r="P397" s="44" t="s">
        <v>92</v>
      </c>
      <c r="Q397" s="57">
        <v>122073</v>
      </c>
      <c r="R397" s="58" t="s">
        <v>71</v>
      </c>
      <c r="S397" s="45"/>
      <c r="T397" s="45"/>
      <c r="U397" s="59">
        <v>262002916</v>
      </c>
      <c r="V397" s="58" t="s">
        <v>686</v>
      </c>
      <c r="W397" s="60" t="s">
        <v>79</v>
      </c>
      <c r="X397" s="58" t="s">
        <v>94</v>
      </c>
      <c r="Y397" s="61">
        <f>36913+(6*364)</f>
        <v>39097</v>
      </c>
      <c r="Z397" s="44">
        <f t="shared" ca="1" si="6"/>
        <v>18</v>
      </c>
    </row>
    <row r="398" spans="1:26" x14ac:dyDescent="0.25">
      <c r="A398" s="52" t="s">
        <v>330</v>
      </c>
      <c r="B398" s="52" t="s">
        <v>104</v>
      </c>
      <c r="C398" s="53">
        <v>77222</v>
      </c>
      <c r="D398" s="54">
        <v>69470</v>
      </c>
      <c r="K398" s="54"/>
      <c r="N398" s="62">
        <v>604006651</v>
      </c>
      <c r="O398" s="56">
        <v>9701191599</v>
      </c>
      <c r="P398" s="44" t="s">
        <v>76</v>
      </c>
      <c r="Q398" s="57">
        <v>122178</v>
      </c>
      <c r="R398" s="58" t="s">
        <v>71</v>
      </c>
      <c r="S398" s="45"/>
      <c r="T398" s="45"/>
      <c r="U398" s="59">
        <v>313003149</v>
      </c>
      <c r="V398" s="58" t="s">
        <v>229</v>
      </c>
      <c r="W398" s="60" t="s">
        <v>79</v>
      </c>
      <c r="X398" s="58" t="s">
        <v>173</v>
      </c>
      <c r="Y398" s="61">
        <f>37994+(6*364)</f>
        <v>40178</v>
      </c>
      <c r="Z398" s="44">
        <f t="shared" ca="1" si="6"/>
        <v>15</v>
      </c>
    </row>
    <row r="399" spans="1:26" x14ac:dyDescent="0.25">
      <c r="A399" s="52" t="s">
        <v>347</v>
      </c>
      <c r="B399" s="52" t="s">
        <v>104</v>
      </c>
      <c r="C399" s="53">
        <v>29445</v>
      </c>
      <c r="D399" s="54">
        <v>59197</v>
      </c>
      <c r="K399" s="54"/>
      <c r="N399" s="62">
        <v>606002200</v>
      </c>
      <c r="O399" s="56">
        <v>5055060466</v>
      </c>
      <c r="P399" s="44" t="s">
        <v>99</v>
      </c>
      <c r="Q399" s="57">
        <v>52886</v>
      </c>
      <c r="R399" s="58" t="s">
        <v>77</v>
      </c>
      <c r="S399" s="45"/>
      <c r="T399" s="45"/>
      <c r="U399" s="59">
        <v>315008929</v>
      </c>
      <c r="V399" s="58" t="s">
        <v>687</v>
      </c>
      <c r="W399" s="60" t="s">
        <v>73</v>
      </c>
      <c r="X399" s="58" t="s">
        <v>90</v>
      </c>
      <c r="Y399" s="61">
        <f>40301+(6*364)</f>
        <v>42485</v>
      </c>
      <c r="Z399" s="44">
        <f t="shared" ca="1" si="6"/>
        <v>8</v>
      </c>
    </row>
    <row r="400" spans="1:26" x14ac:dyDescent="0.25">
      <c r="A400" s="52" t="s">
        <v>355</v>
      </c>
      <c r="B400" s="52" t="s">
        <v>104</v>
      </c>
      <c r="C400" s="53">
        <v>48124</v>
      </c>
      <c r="D400" s="54">
        <v>122704</v>
      </c>
      <c r="K400" s="54"/>
      <c r="N400" s="62">
        <v>607007105</v>
      </c>
      <c r="O400" s="56">
        <v>3037925201</v>
      </c>
      <c r="P400" s="44" t="s">
        <v>70</v>
      </c>
      <c r="Q400" s="57">
        <v>77232</v>
      </c>
      <c r="R400" s="58" t="s">
        <v>71</v>
      </c>
      <c r="S400" s="45"/>
      <c r="T400" s="45"/>
      <c r="U400" s="59">
        <v>672005488</v>
      </c>
      <c r="V400" s="58" t="s">
        <v>688</v>
      </c>
      <c r="W400" s="60" t="s">
        <v>79</v>
      </c>
      <c r="X400" s="58" t="s">
        <v>85</v>
      </c>
      <c r="Y400" s="61">
        <f>35147+(6*364)</f>
        <v>37331</v>
      </c>
      <c r="Z400" s="44">
        <f t="shared" ca="1" si="6"/>
        <v>22</v>
      </c>
    </row>
    <row r="401" spans="1:26" x14ac:dyDescent="0.25">
      <c r="A401" s="52" t="s">
        <v>391</v>
      </c>
      <c r="B401" s="52" t="s">
        <v>104</v>
      </c>
      <c r="C401" s="53">
        <v>12206</v>
      </c>
      <c r="D401" s="54">
        <v>72927</v>
      </c>
      <c r="K401" s="54"/>
      <c r="N401" s="62">
        <v>608002596</v>
      </c>
      <c r="O401" s="56">
        <v>3034248455</v>
      </c>
      <c r="P401" s="44" t="s">
        <v>92</v>
      </c>
      <c r="Q401" s="57">
        <v>120553</v>
      </c>
      <c r="R401" s="58" t="s">
        <v>71</v>
      </c>
      <c r="S401" s="45"/>
      <c r="T401" s="45"/>
      <c r="U401" s="59">
        <v>781006535</v>
      </c>
      <c r="V401" s="58" t="s">
        <v>649</v>
      </c>
      <c r="W401" s="60" t="s">
        <v>89</v>
      </c>
      <c r="X401" s="58" t="s">
        <v>85</v>
      </c>
      <c r="Y401" s="61">
        <f>42371+(6*364)</f>
        <v>44555</v>
      </c>
      <c r="Z401" s="44">
        <f t="shared" ca="1" si="6"/>
        <v>3</v>
      </c>
    </row>
    <row r="402" spans="1:26" x14ac:dyDescent="0.25">
      <c r="A402" s="52" t="s">
        <v>394</v>
      </c>
      <c r="B402" s="52" t="s">
        <v>104</v>
      </c>
      <c r="C402" s="53">
        <v>34078</v>
      </c>
      <c r="D402" s="54">
        <v>116300</v>
      </c>
      <c r="K402" s="54"/>
      <c r="N402" s="62">
        <v>609009378</v>
      </c>
      <c r="O402" s="56">
        <v>3035871924</v>
      </c>
      <c r="P402" s="44"/>
      <c r="Q402" s="57">
        <v>72676</v>
      </c>
      <c r="R402" s="58" t="s">
        <v>87</v>
      </c>
      <c r="S402" s="45"/>
      <c r="T402" s="45"/>
      <c r="U402" s="59">
        <v>127002654</v>
      </c>
      <c r="V402" s="58" t="s">
        <v>519</v>
      </c>
      <c r="W402" s="60" t="s">
        <v>154</v>
      </c>
      <c r="X402" s="58" t="s">
        <v>90</v>
      </c>
      <c r="Y402" s="61">
        <f>35675+(6*364)</f>
        <v>37859</v>
      </c>
      <c r="Z402" s="44">
        <f t="shared" ca="1" si="6"/>
        <v>21</v>
      </c>
    </row>
    <row r="403" spans="1:26" x14ac:dyDescent="0.25">
      <c r="A403" s="52" t="s">
        <v>408</v>
      </c>
      <c r="B403" s="52" t="s">
        <v>104</v>
      </c>
      <c r="C403" s="53">
        <v>93074</v>
      </c>
      <c r="D403" s="54">
        <v>74883</v>
      </c>
      <c r="K403" s="54"/>
      <c r="N403" s="62">
        <v>610006240</v>
      </c>
      <c r="O403" s="56">
        <v>9704562999</v>
      </c>
      <c r="P403" s="44" t="s">
        <v>82</v>
      </c>
      <c r="Q403" s="57">
        <v>100330</v>
      </c>
      <c r="R403" s="58" t="s">
        <v>71</v>
      </c>
      <c r="S403" s="45"/>
      <c r="T403" s="45"/>
      <c r="U403" s="59">
        <v>114003866</v>
      </c>
      <c r="V403" s="58" t="s">
        <v>690</v>
      </c>
      <c r="W403" s="60" t="s">
        <v>89</v>
      </c>
      <c r="X403" s="58" t="s">
        <v>85</v>
      </c>
      <c r="Y403" s="61">
        <f>41207+(6*364)</f>
        <v>43391</v>
      </c>
      <c r="Z403" s="44">
        <f t="shared" ca="1" si="6"/>
        <v>6</v>
      </c>
    </row>
    <row r="404" spans="1:26" x14ac:dyDescent="0.25">
      <c r="A404" s="52" t="s">
        <v>712</v>
      </c>
      <c r="B404" s="52" t="s">
        <v>104</v>
      </c>
      <c r="C404" s="53">
        <v>79124</v>
      </c>
      <c r="D404" s="54">
        <v>105590</v>
      </c>
      <c r="K404" s="54"/>
      <c r="N404" s="62">
        <v>611007637</v>
      </c>
      <c r="O404" s="56">
        <v>7192792063</v>
      </c>
      <c r="P404" s="44" t="s">
        <v>82</v>
      </c>
      <c r="Q404" s="57">
        <v>40221</v>
      </c>
      <c r="R404" s="58" t="s">
        <v>71</v>
      </c>
      <c r="S404" s="45"/>
      <c r="T404" s="45"/>
      <c r="U404" s="59">
        <v>609009378</v>
      </c>
      <c r="V404" s="58" t="s">
        <v>231</v>
      </c>
      <c r="W404" s="60" t="s">
        <v>89</v>
      </c>
      <c r="X404" s="58" t="s">
        <v>90</v>
      </c>
      <c r="Y404" s="61">
        <f>38561+(6*364)</f>
        <v>40745</v>
      </c>
      <c r="Z404" s="44">
        <f t="shared" ca="1" si="6"/>
        <v>13</v>
      </c>
    </row>
    <row r="405" spans="1:26" x14ac:dyDescent="0.25">
      <c r="A405" s="52" t="s">
        <v>455</v>
      </c>
      <c r="B405" s="52" t="s">
        <v>104</v>
      </c>
      <c r="C405" s="53">
        <v>42425</v>
      </c>
      <c r="D405" s="54">
        <v>112896</v>
      </c>
      <c r="K405" s="54"/>
      <c r="N405" s="62">
        <v>611009356</v>
      </c>
      <c r="O405" s="56">
        <v>5052729524</v>
      </c>
      <c r="P405" s="44" t="s">
        <v>92</v>
      </c>
      <c r="Q405" s="57">
        <v>115908</v>
      </c>
      <c r="R405" s="58" t="s">
        <v>71</v>
      </c>
      <c r="S405" s="45"/>
      <c r="T405" s="45"/>
      <c r="U405" s="59">
        <v>214005707</v>
      </c>
      <c r="V405" s="58" t="s">
        <v>691</v>
      </c>
      <c r="W405" s="60" t="s">
        <v>73</v>
      </c>
      <c r="X405" s="58" t="s">
        <v>90</v>
      </c>
      <c r="Y405" s="61">
        <f>37906+(6*364)</f>
        <v>40090</v>
      </c>
      <c r="Z405" s="44">
        <f t="shared" ca="1" si="6"/>
        <v>15</v>
      </c>
    </row>
    <row r="406" spans="1:26" x14ac:dyDescent="0.25">
      <c r="A406" s="52" t="s">
        <v>470</v>
      </c>
      <c r="B406" s="52" t="s">
        <v>104</v>
      </c>
      <c r="C406" s="53">
        <v>66196</v>
      </c>
      <c r="D406" s="54">
        <v>103698</v>
      </c>
      <c r="K406" s="54"/>
      <c r="N406" s="62">
        <v>617001085</v>
      </c>
      <c r="O406" s="56">
        <v>3032390604</v>
      </c>
      <c r="P406" s="44" t="s">
        <v>82</v>
      </c>
      <c r="Q406" s="57">
        <v>60847</v>
      </c>
      <c r="R406" s="58" t="s">
        <v>71</v>
      </c>
      <c r="S406" s="45"/>
      <c r="T406" s="45"/>
      <c r="U406" s="59">
        <v>968008540</v>
      </c>
      <c r="V406" s="58" t="s">
        <v>113</v>
      </c>
      <c r="W406" s="60" t="s">
        <v>73</v>
      </c>
      <c r="X406" s="58" t="s">
        <v>107</v>
      </c>
      <c r="Y406" s="61">
        <f>35819+(6*364)</f>
        <v>38003</v>
      </c>
      <c r="Z406" s="44">
        <f t="shared" ca="1" si="6"/>
        <v>21</v>
      </c>
    </row>
    <row r="407" spans="1:26" x14ac:dyDescent="0.25">
      <c r="A407" s="52" t="s">
        <v>478</v>
      </c>
      <c r="B407" s="52" t="s">
        <v>104</v>
      </c>
      <c r="C407" s="53">
        <v>23139</v>
      </c>
      <c r="D407" s="54">
        <v>30983</v>
      </c>
      <c r="K407" s="54"/>
      <c r="N407" s="62">
        <v>618002890</v>
      </c>
      <c r="O407" s="56">
        <v>7195876028</v>
      </c>
      <c r="P407" s="44" t="s">
        <v>99</v>
      </c>
      <c r="Q407" s="57">
        <v>72950</v>
      </c>
      <c r="R407" s="58" t="s">
        <v>77</v>
      </c>
      <c r="S407" s="45"/>
      <c r="T407" s="45"/>
      <c r="U407" s="59">
        <v>998005925</v>
      </c>
      <c r="V407" s="58" t="s">
        <v>233</v>
      </c>
      <c r="W407" s="60" t="s">
        <v>73</v>
      </c>
      <c r="X407" s="58" t="s">
        <v>90</v>
      </c>
      <c r="Y407" s="61">
        <f>37113+(6*364)</f>
        <v>39297</v>
      </c>
      <c r="Z407" s="44">
        <f t="shared" ca="1" si="6"/>
        <v>17</v>
      </c>
    </row>
    <row r="408" spans="1:26" x14ac:dyDescent="0.25">
      <c r="A408" s="52" t="s">
        <v>512</v>
      </c>
      <c r="B408" s="52" t="s">
        <v>104</v>
      </c>
      <c r="C408" s="53">
        <v>17816</v>
      </c>
      <c r="D408" s="54">
        <v>133270</v>
      </c>
      <c r="K408" s="54"/>
      <c r="N408" s="62">
        <v>620004211</v>
      </c>
      <c r="O408" s="56">
        <v>5058399625</v>
      </c>
      <c r="P408" s="44" t="s">
        <v>99</v>
      </c>
      <c r="Q408" s="57">
        <v>125212</v>
      </c>
      <c r="R408" s="58" t="s">
        <v>71</v>
      </c>
      <c r="S408" s="45"/>
      <c r="T408" s="45"/>
      <c r="U408" s="59">
        <v>930003657</v>
      </c>
      <c r="V408" s="58" t="s">
        <v>694</v>
      </c>
      <c r="W408" s="60" t="s">
        <v>154</v>
      </c>
      <c r="X408" s="58" t="s">
        <v>94</v>
      </c>
      <c r="Y408" s="61">
        <f>41652+(6*364)</f>
        <v>43836</v>
      </c>
      <c r="Z408" s="44">
        <f t="shared" ca="1" si="6"/>
        <v>5</v>
      </c>
    </row>
    <row r="409" spans="1:26" x14ac:dyDescent="0.25">
      <c r="A409" s="52" t="s">
        <v>514</v>
      </c>
      <c r="B409" s="52" t="s">
        <v>104</v>
      </c>
      <c r="C409" s="53">
        <v>83819</v>
      </c>
      <c r="D409" s="54">
        <v>135918</v>
      </c>
      <c r="K409" s="54"/>
      <c r="N409" s="62">
        <v>620005638</v>
      </c>
      <c r="O409" s="56">
        <v>7194633649</v>
      </c>
      <c r="P409" s="44" t="s">
        <v>76</v>
      </c>
      <c r="Q409" s="57">
        <v>48785</v>
      </c>
      <c r="R409" s="58" t="s">
        <v>71</v>
      </c>
      <c r="S409" s="45"/>
      <c r="T409" s="45"/>
      <c r="U409" s="59">
        <v>219000147</v>
      </c>
      <c r="V409" s="58" t="s">
        <v>288</v>
      </c>
      <c r="W409" s="60" t="s">
        <v>73</v>
      </c>
      <c r="X409" s="58" t="s">
        <v>85</v>
      </c>
      <c r="Y409" s="61">
        <f>35530+(6*364)</f>
        <v>37714</v>
      </c>
      <c r="Z409" s="44">
        <f t="shared" ca="1" si="6"/>
        <v>21</v>
      </c>
    </row>
    <row r="410" spans="1:26" x14ac:dyDescent="0.25">
      <c r="A410" s="52" t="s">
        <v>520</v>
      </c>
      <c r="B410" s="52" t="s">
        <v>104</v>
      </c>
      <c r="C410" s="53">
        <v>16389</v>
      </c>
      <c r="D410" s="54">
        <v>119895</v>
      </c>
      <c r="K410" s="54"/>
      <c r="N410" s="62">
        <v>621007303</v>
      </c>
      <c r="O410" s="56">
        <v>3036408497</v>
      </c>
      <c r="P410" s="44" t="s">
        <v>99</v>
      </c>
      <c r="Q410" s="57">
        <v>104895</v>
      </c>
      <c r="R410" s="58" t="s">
        <v>71</v>
      </c>
      <c r="S410" s="45"/>
      <c r="T410" s="45"/>
      <c r="U410" s="59">
        <v>546007356</v>
      </c>
      <c r="V410" s="58" t="s">
        <v>327</v>
      </c>
      <c r="W410" s="60" t="s">
        <v>79</v>
      </c>
      <c r="X410" s="58" t="s">
        <v>524</v>
      </c>
      <c r="Y410" s="61">
        <f>38997+(6*364)</f>
        <v>41181</v>
      </c>
      <c r="Z410" s="44">
        <f t="shared" ca="1" si="6"/>
        <v>12</v>
      </c>
    </row>
    <row r="411" spans="1:26" x14ac:dyDescent="0.25">
      <c r="A411" s="52" t="s">
        <v>527</v>
      </c>
      <c r="B411" s="52" t="s">
        <v>104</v>
      </c>
      <c r="C411" s="53">
        <v>93988</v>
      </c>
      <c r="D411" s="54">
        <v>58040</v>
      </c>
      <c r="K411" s="54"/>
      <c r="N411" s="62">
        <v>621008909</v>
      </c>
      <c r="O411" s="56">
        <v>9703858464</v>
      </c>
      <c r="P411" s="44"/>
      <c r="Q411" s="57">
        <v>122163</v>
      </c>
      <c r="R411" s="58" t="s">
        <v>109</v>
      </c>
      <c r="S411" s="45"/>
      <c r="T411" s="45"/>
      <c r="U411" s="59">
        <v>990002761</v>
      </c>
      <c r="V411" s="58" t="s">
        <v>650</v>
      </c>
      <c r="W411" s="60" t="s">
        <v>89</v>
      </c>
      <c r="X411" s="58" t="s">
        <v>173</v>
      </c>
      <c r="Y411" s="61">
        <f>35345+(6*364)</f>
        <v>37529</v>
      </c>
      <c r="Z411" s="44">
        <f t="shared" ca="1" si="6"/>
        <v>22</v>
      </c>
    </row>
    <row r="412" spans="1:26" x14ac:dyDescent="0.25">
      <c r="A412" s="52" t="s">
        <v>543</v>
      </c>
      <c r="B412" s="52" t="s">
        <v>104</v>
      </c>
      <c r="C412" s="53">
        <v>62620</v>
      </c>
      <c r="D412" s="54">
        <v>98415</v>
      </c>
      <c r="K412" s="54"/>
      <c r="N412" s="62">
        <v>624006387</v>
      </c>
      <c r="O412" s="56">
        <v>9707515181</v>
      </c>
      <c r="P412" s="44" t="s">
        <v>99</v>
      </c>
      <c r="Q412" s="57">
        <v>124835</v>
      </c>
      <c r="R412" s="58" t="s">
        <v>71</v>
      </c>
      <c r="S412" s="45"/>
      <c r="T412" s="45"/>
      <c r="U412" s="59">
        <v>154001757</v>
      </c>
      <c r="V412" s="58" t="s">
        <v>699</v>
      </c>
      <c r="W412" s="60" t="s">
        <v>84</v>
      </c>
      <c r="X412" s="58" t="s">
        <v>80</v>
      </c>
      <c r="Y412" s="61">
        <f>38989+(6*364)</f>
        <v>41173</v>
      </c>
      <c r="Z412" s="44">
        <f t="shared" ca="1" si="6"/>
        <v>12</v>
      </c>
    </row>
    <row r="413" spans="1:26" x14ac:dyDescent="0.25">
      <c r="A413" s="52" t="s">
        <v>547</v>
      </c>
      <c r="B413" s="52" t="s">
        <v>104</v>
      </c>
      <c r="C413" s="53">
        <v>36718</v>
      </c>
      <c r="D413" s="54">
        <v>69789</v>
      </c>
      <c r="K413" s="54"/>
      <c r="N413" s="62">
        <v>628002057</v>
      </c>
      <c r="O413" s="56">
        <v>3034713634</v>
      </c>
      <c r="P413" s="44" t="s">
        <v>92</v>
      </c>
      <c r="Q413" s="57">
        <v>129322</v>
      </c>
      <c r="R413" s="58" t="s">
        <v>71</v>
      </c>
      <c r="S413" s="45"/>
      <c r="T413" s="45"/>
      <c r="U413" s="59">
        <v>326002634</v>
      </c>
      <c r="V413" s="58" t="s">
        <v>701</v>
      </c>
      <c r="W413" s="60" t="s">
        <v>73</v>
      </c>
      <c r="X413" s="58" t="s">
        <v>90</v>
      </c>
      <c r="Y413" s="61">
        <f>39318+(6*364)</f>
        <v>41502</v>
      </c>
      <c r="Z413" s="44">
        <f t="shared" ca="1" si="6"/>
        <v>11</v>
      </c>
    </row>
    <row r="414" spans="1:26" x14ac:dyDescent="0.25">
      <c r="A414" s="52" t="s">
        <v>590</v>
      </c>
      <c r="B414" s="52" t="s">
        <v>104</v>
      </c>
      <c r="C414" s="53">
        <v>79112</v>
      </c>
      <c r="D414" s="54">
        <v>104455</v>
      </c>
      <c r="K414" s="54"/>
      <c r="N414" s="62">
        <v>630002705</v>
      </c>
      <c r="O414" s="56">
        <v>9706865606</v>
      </c>
      <c r="P414" s="44"/>
      <c r="Q414" s="57">
        <v>58542</v>
      </c>
      <c r="R414" s="58" t="s">
        <v>87</v>
      </c>
      <c r="S414" s="45"/>
      <c r="T414" s="45"/>
      <c r="U414" s="59">
        <v>775006957</v>
      </c>
      <c r="V414" s="58" t="s">
        <v>702</v>
      </c>
      <c r="W414" s="60" t="s">
        <v>73</v>
      </c>
      <c r="X414" s="58" t="s">
        <v>104</v>
      </c>
      <c r="Y414" s="61">
        <f>35566+(6*364)</f>
        <v>37750</v>
      </c>
      <c r="Z414" s="44">
        <f t="shared" ca="1" si="6"/>
        <v>21</v>
      </c>
    </row>
    <row r="415" spans="1:26" x14ac:dyDescent="0.25">
      <c r="A415" s="52" t="s">
        <v>598</v>
      </c>
      <c r="B415" s="52" t="s">
        <v>104</v>
      </c>
      <c r="C415" s="53">
        <v>36824</v>
      </c>
      <c r="D415" s="54">
        <v>120056</v>
      </c>
      <c r="K415" s="54"/>
      <c r="N415" s="62">
        <v>635001700</v>
      </c>
      <c r="O415" s="56">
        <v>3034072342</v>
      </c>
      <c r="P415" s="44" t="s">
        <v>99</v>
      </c>
      <c r="Q415" s="57">
        <v>120892</v>
      </c>
      <c r="R415" s="58" t="s">
        <v>71</v>
      </c>
      <c r="S415" s="45"/>
      <c r="T415" s="45"/>
      <c r="U415" s="59">
        <v>529001783</v>
      </c>
      <c r="V415" s="58" t="s">
        <v>704</v>
      </c>
      <c r="W415" s="60" t="s">
        <v>79</v>
      </c>
      <c r="X415" s="58" t="s">
        <v>173</v>
      </c>
      <c r="Y415" s="61">
        <f>35180+(6*364)</f>
        <v>37364</v>
      </c>
      <c r="Z415" s="44">
        <f t="shared" ca="1" si="6"/>
        <v>22</v>
      </c>
    </row>
    <row r="416" spans="1:26" x14ac:dyDescent="0.25">
      <c r="A416" s="52" t="s">
        <v>614</v>
      </c>
      <c r="B416" s="52" t="s">
        <v>104</v>
      </c>
      <c r="C416" s="53">
        <v>54611</v>
      </c>
      <c r="D416" s="54">
        <v>106331</v>
      </c>
      <c r="K416" s="54"/>
      <c r="N416" s="62">
        <v>635002174</v>
      </c>
      <c r="O416" s="56">
        <v>9701384592</v>
      </c>
      <c r="P416" s="44" t="s">
        <v>92</v>
      </c>
      <c r="Q416" s="57">
        <v>62324</v>
      </c>
      <c r="R416" s="58" t="s">
        <v>77</v>
      </c>
      <c r="S416" s="45"/>
      <c r="T416" s="45"/>
      <c r="U416" s="59">
        <v>279001556</v>
      </c>
      <c r="V416" s="58" t="s">
        <v>376</v>
      </c>
      <c r="W416" s="60" t="s">
        <v>79</v>
      </c>
      <c r="X416" s="58" t="s">
        <v>173</v>
      </c>
      <c r="Y416" s="61">
        <f>35934+(6*364)</f>
        <v>38118</v>
      </c>
      <c r="Z416" s="44">
        <f t="shared" ca="1" si="6"/>
        <v>20</v>
      </c>
    </row>
    <row r="417" spans="1:26" x14ac:dyDescent="0.25">
      <c r="A417" s="52" t="s">
        <v>717</v>
      </c>
      <c r="B417" s="52" t="s">
        <v>104</v>
      </c>
      <c r="C417" s="53">
        <v>90905</v>
      </c>
      <c r="D417" s="54">
        <v>98780</v>
      </c>
      <c r="K417" s="54"/>
      <c r="N417" s="62">
        <v>635006297</v>
      </c>
      <c r="O417" s="56">
        <v>5058211050</v>
      </c>
      <c r="P417" s="44"/>
      <c r="Q417" s="57">
        <v>72142</v>
      </c>
      <c r="R417" s="58" t="s">
        <v>109</v>
      </c>
      <c r="S417" s="45"/>
      <c r="T417" s="45"/>
      <c r="U417" s="59">
        <v>325000313</v>
      </c>
      <c r="V417" s="58" t="s">
        <v>652</v>
      </c>
      <c r="W417" s="60" t="s">
        <v>73</v>
      </c>
      <c r="X417" s="58" t="s">
        <v>94</v>
      </c>
      <c r="Y417" s="61">
        <f>37952+(6*364)</f>
        <v>40136</v>
      </c>
      <c r="Z417" s="44">
        <f t="shared" ca="1" si="6"/>
        <v>15</v>
      </c>
    </row>
    <row r="418" spans="1:26" x14ac:dyDescent="0.25">
      <c r="A418" s="52" t="s">
        <v>679</v>
      </c>
      <c r="B418" s="52" t="s">
        <v>104</v>
      </c>
      <c r="C418" s="53">
        <v>17097</v>
      </c>
      <c r="D418" s="54">
        <v>115079</v>
      </c>
      <c r="K418" s="54"/>
      <c r="N418" s="62">
        <v>636002627</v>
      </c>
      <c r="O418" s="56">
        <v>7193891189</v>
      </c>
      <c r="P418" s="44" t="s">
        <v>92</v>
      </c>
      <c r="Q418" s="57">
        <v>121668</v>
      </c>
      <c r="R418" s="58" t="s">
        <v>71</v>
      </c>
      <c r="S418" s="45"/>
      <c r="T418" s="45"/>
      <c r="U418" s="59">
        <v>875001781</v>
      </c>
      <c r="V418" s="58" t="s">
        <v>707</v>
      </c>
      <c r="W418" s="60" t="s">
        <v>79</v>
      </c>
      <c r="X418" s="58" t="s">
        <v>173</v>
      </c>
      <c r="Y418" s="61">
        <f>41739+(6*364)</f>
        <v>43923</v>
      </c>
      <c r="Z418" s="44">
        <f t="shared" ca="1" si="6"/>
        <v>4</v>
      </c>
    </row>
    <row r="419" spans="1:26" x14ac:dyDescent="0.25">
      <c r="A419" s="52" t="s">
        <v>682</v>
      </c>
      <c r="B419" s="52" t="s">
        <v>104</v>
      </c>
      <c r="C419" s="53">
        <v>31925</v>
      </c>
      <c r="D419" s="54">
        <v>66627</v>
      </c>
      <c r="K419" s="54"/>
      <c r="N419" s="62">
        <v>636003010</v>
      </c>
      <c r="O419" s="56">
        <v>7194652136</v>
      </c>
      <c r="P419" s="44" t="s">
        <v>92</v>
      </c>
      <c r="Q419" s="57">
        <v>95345</v>
      </c>
      <c r="R419" s="58" t="s">
        <v>71</v>
      </c>
      <c r="S419" s="45"/>
      <c r="T419" s="45"/>
      <c r="U419" s="59">
        <v>524000396</v>
      </c>
      <c r="V419" s="58" t="s">
        <v>708</v>
      </c>
      <c r="W419" s="60" t="s">
        <v>84</v>
      </c>
      <c r="X419" s="58" t="s">
        <v>524</v>
      </c>
      <c r="Y419" s="61">
        <f>39608+(6*364)</f>
        <v>41792</v>
      </c>
      <c r="Z419" s="44">
        <f t="shared" ca="1" si="6"/>
        <v>10</v>
      </c>
    </row>
    <row r="420" spans="1:26" x14ac:dyDescent="0.25">
      <c r="A420" s="52" t="s">
        <v>688</v>
      </c>
      <c r="B420" s="52" t="s">
        <v>104</v>
      </c>
      <c r="C420" s="53">
        <v>66086</v>
      </c>
      <c r="D420" s="54">
        <v>67797</v>
      </c>
      <c r="K420" s="54"/>
      <c r="N420" s="62">
        <v>639008811</v>
      </c>
      <c r="O420" s="56">
        <v>7192042331</v>
      </c>
      <c r="P420" s="44" t="s">
        <v>82</v>
      </c>
      <c r="Q420" s="57">
        <v>102010</v>
      </c>
      <c r="R420" s="58" t="s">
        <v>71</v>
      </c>
      <c r="S420" s="45"/>
      <c r="T420" s="45"/>
      <c r="U420" s="59">
        <v>506007672</v>
      </c>
      <c r="V420" s="58" t="s">
        <v>329</v>
      </c>
      <c r="W420" s="60" t="s">
        <v>79</v>
      </c>
      <c r="X420" s="58" t="s">
        <v>96</v>
      </c>
      <c r="Y420" s="61">
        <f>38701+(6*364)</f>
        <v>40885</v>
      </c>
      <c r="Z420" s="44">
        <f t="shared" ca="1" si="6"/>
        <v>13</v>
      </c>
    </row>
    <row r="421" spans="1:26" x14ac:dyDescent="0.25">
      <c r="A421" s="52" t="s">
        <v>719</v>
      </c>
      <c r="B421" s="52" t="s">
        <v>104</v>
      </c>
      <c r="C421" s="53">
        <v>40046</v>
      </c>
      <c r="D421" s="54">
        <v>64972</v>
      </c>
      <c r="K421" s="54"/>
      <c r="N421" s="62">
        <v>640009351</v>
      </c>
      <c r="O421" s="56">
        <v>5052520526</v>
      </c>
      <c r="P421" s="44" t="s">
        <v>76</v>
      </c>
      <c r="Q421" s="57">
        <v>47889</v>
      </c>
      <c r="R421" s="58" t="s">
        <v>71</v>
      </c>
      <c r="S421" s="45"/>
      <c r="T421" s="45"/>
      <c r="U421" s="59">
        <v>326003677</v>
      </c>
      <c r="V421" s="58" t="s">
        <v>653</v>
      </c>
      <c r="W421" s="60" t="s">
        <v>89</v>
      </c>
      <c r="X421" s="58" t="s">
        <v>104</v>
      </c>
      <c r="Y421" s="61">
        <f>42376+(6*364)</f>
        <v>44560</v>
      </c>
      <c r="Z421" s="44">
        <f t="shared" ca="1" si="6"/>
        <v>3</v>
      </c>
    </row>
    <row r="422" spans="1:26" x14ac:dyDescent="0.25">
      <c r="A422" s="52" t="s">
        <v>721</v>
      </c>
      <c r="B422" s="52" t="s">
        <v>104</v>
      </c>
      <c r="C422" s="53">
        <v>57165</v>
      </c>
      <c r="D422" s="54">
        <v>75459</v>
      </c>
      <c r="K422" s="54"/>
      <c r="N422" s="62">
        <v>642001000</v>
      </c>
      <c r="O422" s="56">
        <v>3033164024</v>
      </c>
      <c r="P422" s="44"/>
      <c r="Q422" s="57">
        <v>68049</v>
      </c>
      <c r="R422" s="58" t="s">
        <v>87</v>
      </c>
      <c r="S422" s="45"/>
      <c r="T422" s="45"/>
      <c r="U422" s="59">
        <v>329009768</v>
      </c>
      <c r="V422" s="58" t="s">
        <v>709</v>
      </c>
      <c r="W422" s="60" t="s">
        <v>84</v>
      </c>
      <c r="X422" s="58" t="s">
        <v>80</v>
      </c>
      <c r="Y422" s="61">
        <f>38382+(6*364)</f>
        <v>40566</v>
      </c>
      <c r="Z422" s="44">
        <f t="shared" ca="1" si="6"/>
        <v>14</v>
      </c>
    </row>
    <row r="423" spans="1:26" x14ac:dyDescent="0.25">
      <c r="A423" s="52" t="s">
        <v>723</v>
      </c>
      <c r="B423" s="52" t="s">
        <v>104</v>
      </c>
      <c r="C423" s="53">
        <v>66453</v>
      </c>
      <c r="D423" s="54">
        <v>48911</v>
      </c>
      <c r="K423" s="54"/>
      <c r="N423" s="62">
        <v>642002369</v>
      </c>
      <c r="O423" s="56">
        <v>3035777345</v>
      </c>
      <c r="P423" s="44" t="s">
        <v>99</v>
      </c>
      <c r="Q423" s="57">
        <v>117154</v>
      </c>
      <c r="R423" s="58" t="s">
        <v>71</v>
      </c>
      <c r="S423" s="45"/>
      <c r="T423" s="45"/>
      <c r="U423" s="59">
        <v>979004503</v>
      </c>
      <c r="V423" s="58" t="s">
        <v>521</v>
      </c>
      <c r="W423" s="60" t="s">
        <v>73</v>
      </c>
      <c r="X423" s="58" t="s">
        <v>74</v>
      </c>
      <c r="Y423" s="61">
        <f>40059+(6*364)</f>
        <v>42243</v>
      </c>
      <c r="Z423" s="44">
        <f t="shared" ca="1" si="6"/>
        <v>9</v>
      </c>
    </row>
    <row r="424" spans="1:26" x14ac:dyDescent="0.25">
      <c r="A424" s="52" t="s">
        <v>724</v>
      </c>
      <c r="B424" s="52" t="s">
        <v>104</v>
      </c>
      <c r="C424" s="53">
        <v>79169</v>
      </c>
      <c r="D424" s="54">
        <v>74809</v>
      </c>
      <c r="K424" s="54"/>
      <c r="N424" s="62">
        <v>644004338</v>
      </c>
      <c r="O424" s="56">
        <v>3032304625</v>
      </c>
      <c r="P424" s="44" t="s">
        <v>76</v>
      </c>
      <c r="Q424" s="57">
        <v>38334</v>
      </c>
      <c r="R424" s="58" t="s">
        <v>77</v>
      </c>
      <c r="S424" s="45"/>
      <c r="T424" s="45"/>
      <c r="U424" s="59">
        <v>187000804</v>
      </c>
      <c r="V424" s="58" t="s">
        <v>710</v>
      </c>
      <c r="W424" s="60" t="s">
        <v>89</v>
      </c>
      <c r="X424" s="58" t="s">
        <v>90</v>
      </c>
      <c r="Y424" s="61">
        <f>39360+(6*364)</f>
        <v>41544</v>
      </c>
      <c r="Z424" s="44">
        <f t="shared" ca="1" si="6"/>
        <v>11</v>
      </c>
    </row>
    <row r="425" spans="1:26" x14ac:dyDescent="0.25">
      <c r="A425" s="52" t="s">
        <v>725</v>
      </c>
      <c r="B425" s="52" t="s">
        <v>104</v>
      </c>
      <c r="C425" s="53">
        <v>17296</v>
      </c>
      <c r="D425" s="54">
        <v>132062</v>
      </c>
      <c r="K425" s="54"/>
      <c r="N425" s="62">
        <v>645009312</v>
      </c>
      <c r="O425" s="56">
        <v>9701535362</v>
      </c>
      <c r="P425" s="44" t="s">
        <v>70</v>
      </c>
      <c r="Q425" s="57">
        <v>63150</v>
      </c>
      <c r="R425" s="58" t="s">
        <v>71</v>
      </c>
      <c r="S425" s="45"/>
      <c r="T425" s="45"/>
      <c r="U425" s="59">
        <v>445003754</v>
      </c>
      <c r="V425" s="58" t="s">
        <v>711</v>
      </c>
      <c r="W425" s="60" t="s">
        <v>89</v>
      </c>
      <c r="X425" s="58" t="s">
        <v>85</v>
      </c>
      <c r="Y425" s="61">
        <f>37781+(6*364)</f>
        <v>39965</v>
      </c>
      <c r="Z425" s="44">
        <f t="shared" ca="1" si="6"/>
        <v>15</v>
      </c>
    </row>
    <row r="426" spans="1:26" x14ac:dyDescent="0.25">
      <c r="A426" s="52" t="s">
        <v>726</v>
      </c>
      <c r="B426" s="52" t="s">
        <v>104</v>
      </c>
      <c r="C426" s="53">
        <v>92380</v>
      </c>
      <c r="D426" s="54">
        <v>75101</v>
      </c>
      <c r="K426" s="54"/>
      <c r="N426" s="62">
        <v>646009109</v>
      </c>
      <c r="O426" s="56">
        <v>9705202015</v>
      </c>
      <c r="P426" s="44" t="s">
        <v>76</v>
      </c>
      <c r="Q426" s="57">
        <v>113680</v>
      </c>
      <c r="R426" s="58" t="s">
        <v>71</v>
      </c>
      <c r="S426" s="45"/>
      <c r="T426" s="45"/>
      <c r="U426" s="59">
        <v>772005528</v>
      </c>
      <c r="V426" s="58" t="s">
        <v>377</v>
      </c>
      <c r="W426" s="60" t="s">
        <v>84</v>
      </c>
      <c r="X426" s="58" t="s">
        <v>107</v>
      </c>
      <c r="Y426" s="61">
        <f>37864+(6*364)</f>
        <v>40048</v>
      </c>
      <c r="Z426" s="44">
        <f t="shared" ca="1" si="6"/>
        <v>15</v>
      </c>
    </row>
    <row r="427" spans="1:26" x14ac:dyDescent="0.25">
      <c r="A427" s="52" t="s">
        <v>727</v>
      </c>
      <c r="B427" s="52" t="s">
        <v>104</v>
      </c>
      <c r="C427" s="53">
        <v>83709</v>
      </c>
      <c r="D427" s="54">
        <v>61816</v>
      </c>
      <c r="K427" s="54"/>
      <c r="N427" s="62">
        <v>648004266</v>
      </c>
      <c r="O427" s="56">
        <v>3033324762</v>
      </c>
      <c r="P427" s="44" t="s">
        <v>99</v>
      </c>
      <c r="Q427" s="57">
        <v>78820</v>
      </c>
      <c r="R427" s="58" t="s">
        <v>71</v>
      </c>
      <c r="S427" s="45"/>
      <c r="T427" s="45"/>
      <c r="U427" s="59">
        <v>778004872</v>
      </c>
      <c r="V427" s="58" t="s">
        <v>522</v>
      </c>
      <c r="W427" s="60" t="s">
        <v>154</v>
      </c>
      <c r="X427" s="58" t="s">
        <v>94</v>
      </c>
      <c r="Y427" s="61">
        <f>36839+(6*364)</f>
        <v>39023</v>
      </c>
      <c r="Z427" s="44">
        <f t="shared" ca="1" si="6"/>
        <v>18</v>
      </c>
    </row>
    <row r="428" spans="1:26" x14ac:dyDescent="0.25">
      <c r="A428" s="52" t="s">
        <v>728</v>
      </c>
      <c r="B428" s="52" t="s">
        <v>104</v>
      </c>
      <c r="C428" s="53">
        <v>41326</v>
      </c>
      <c r="D428" s="54">
        <v>76120</v>
      </c>
      <c r="K428" s="54"/>
      <c r="N428" s="62">
        <v>648004651</v>
      </c>
      <c r="O428" s="56">
        <v>7194854867</v>
      </c>
      <c r="P428" s="44" t="s">
        <v>99</v>
      </c>
      <c r="Q428" s="57">
        <v>95923</v>
      </c>
      <c r="R428" s="58" t="s">
        <v>71</v>
      </c>
      <c r="S428" s="45"/>
      <c r="T428" s="45"/>
      <c r="U428" s="59">
        <v>217005900</v>
      </c>
      <c r="V428" s="58" t="s">
        <v>525</v>
      </c>
      <c r="W428" s="60" t="s">
        <v>89</v>
      </c>
      <c r="X428" s="58" t="s">
        <v>524</v>
      </c>
      <c r="Y428" s="61">
        <f>38915+(6*364)</f>
        <v>41099</v>
      </c>
      <c r="Z428" s="44">
        <f t="shared" ca="1" si="6"/>
        <v>12</v>
      </c>
    </row>
    <row r="429" spans="1:26" x14ac:dyDescent="0.25">
      <c r="A429" s="52" t="s">
        <v>730</v>
      </c>
      <c r="B429" s="52" t="s">
        <v>104</v>
      </c>
      <c r="C429" s="53">
        <v>83098</v>
      </c>
      <c r="D429" s="54">
        <v>80821</v>
      </c>
      <c r="K429" s="54"/>
      <c r="N429" s="62">
        <v>648008204</v>
      </c>
      <c r="O429" s="56">
        <v>9701957923</v>
      </c>
      <c r="P429" s="44" t="s">
        <v>82</v>
      </c>
      <c r="Q429" s="57">
        <v>113999</v>
      </c>
      <c r="R429" s="58" t="s">
        <v>71</v>
      </c>
      <c r="S429" s="45"/>
      <c r="T429" s="45"/>
      <c r="U429" s="59">
        <v>247000806</v>
      </c>
      <c r="V429" s="58" t="s">
        <v>234</v>
      </c>
      <c r="W429" s="60" t="s">
        <v>89</v>
      </c>
      <c r="X429" s="58" t="s">
        <v>107</v>
      </c>
      <c r="Y429" s="61">
        <f>42009+(6*364)</f>
        <v>44193</v>
      </c>
      <c r="Z429" s="44">
        <f t="shared" ca="1" si="6"/>
        <v>4</v>
      </c>
    </row>
    <row r="430" spans="1:26" x14ac:dyDescent="0.25">
      <c r="A430" s="52" t="s">
        <v>732</v>
      </c>
      <c r="B430" s="52" t="s">
        <v>104</v>
      </c>
      <c r="C430" s="53">
        <v>94999</v>
      </c>
      <c r="D430" s="54">
        <v>124320</v>
      </c>
      <c r="K430" s="54"/>
      <c r="N430" s="62">
        <v>650003671</v>
      </c>
      <c r="O430" s="56">
        <v>7196699611</v>
      </c>
      <c r="P430" s="44" t="s">
        <v>92</v>
      </c>
      <c r="Q430" s="57">
        <v>127742</v>
      </c>
      <c r="R430" s="58" t="s">
        <v>71</v>
      </c>
      <c r="S430" s="45"/>
      <c r="T430" s="45"/>
      <c r="U430" s="59">
        <v>666007587</v>
      </c>
      <c r="V430" s="58" t="s">
        <v>713</v>
      </c>
      <c r="W430" s="60" t="s">
        <v>154</v>
      </c>
      <c r="X430" s="58" t="s">
        <v>90</v>
      </c>
      <c r="Y430" s="61">
        <f>41896+(6*364)</f>
        <v>44080</v>
      </c>
      <c r="Z430" s="44">
        <f t="shared" ca="1" si="6"/>
        <v>4</v>
      </c>
    </row>
    <row r="431" spans="1:26" x14ac:dyDescent="0.25">
      <c r="A431" s="52" t="s">
        <v>733</v>
      </c>
      <c r="B431" s="52" t="s">
        <v>104</v>
      </c>
      <c r="C431" s="53">
        <v>98303</v>
      </c>
      <c r="D431" s="54">
        <v>123170</v>
      </c>
      <c r="K431" s="54"/>
      <c r="N431" s="62">
        <v>650009155</v>
      </c>
      <c r="O431" s="56">
        <v>5053848677</v>
      </c>
      <c r="P431" s="44"/>
      <c r="Q431" s="57">
        <v>98084</v>
      </c>
      <c r="R431" s="58" t="s">
        <v>87</v>
      </c>
      <c r="S431" s="45"/>
      <c r="T431" s="45"/>
      <c r="U431" s="59">
        <v>856003663</v>
      </c>
      <c r="V431" s="58" t="s">
        <v>714</v>
      </c>
      <c r="W431" s="60" t="s">
        <v>89</v>
      </c>
      <c r="X431" s="58" t="s">
        <v>94</v>
      </c>
      <c r="Y431" s="61">
        <f>38012+(6*364)</f>
        <v>40196</v>
      </c>
      <c r="Z431" s="44">
        <f t="shared" ca="1" si="6"/>
        <v>15</v>
      </c>
    </row>
    <row r="432" spans="1:26" x14ac:dyDescent="0.25">
      <c r="A432" s="52" t="s">
        <v>734</v>
      </c>
      <c r="B432" s="52" t="s">
        <v>104</v>
      </c>
      <c r="C432" s="53">
        <v>70062</v>
      </c>
      <c r="D432" s="54">
        <v>85201</v>
      </c>
      <c r="K432" s="54"/>
      <c r="N432" s="62">
        <v>650009762</v>
      </c>
      <c r="O432" s="56">
        <v>9702172913</v>
      </c>
      <c r="P432" s="44" t="s">
        <v>70</v>
      </c>
      <c r="Q432" s="57">
        <v>70883</v>
      </c>
      <c r="R432" s="58" t="s">
        <v>71</v>
      </c>
      <c r="S432" s="45"/>
      <c r="T432" s="45"/>
      <c r="U432" s="59">
        <v>368006689</v>
      </c>
      <c r="V432" s="58" t="s">
        <v>654</v>
      </c>
      <c r="W432" s="60" t="s">
        <v>73</v>
      </c>
      <c r="X432" s="58" t="s">
        <v>94</v>
      </c>
      <c r="Y432" s="61">
        <f>37225+(6*364)</f>
        <v>39409</v>
      </c>
      <c r="Z432" s="44">
        <f t="shared" ca="1" si="6"/>
        <v>17</v>
      </c>
    </row>
    <row r="433" spans="1:26" x14ac:dyDescent="0.25">
      <c r="A433" s="52" t="s">
        <v>735</v>
      </c>
      <c r="B433" s="52" t="s">
        <v>104</v>
      </c>
      <c r="C433" s="53">
        <v>33155</v>
      </c>
      <c r="D433" s="54">
        <v>103887</v>
      </c>
      <c r="K433" s="54"/>
      <c r="N433" s="62">
        <v>652003650</v>
      </c>
      <c r="O433" s="56">
        <v>9708046670</v>
      </c>
      <c r="P433" s="44"/>
      <c r="Q433" s="57">
        <v>41578</v>
      </c>
      <c r="R433" s="58" t="s">
        <v>87</v>
      </c>
      <c r="S433" s="45"/>
      <c r="T433" s="45"/>
      <c r="U433" s="59">
        <v>761000800</v>
      </c>
      <c r="V433" s="58" t="s">
        <v>715</v>
      </c>
      <c r="W433" s="60" t="s">
        <v>79</v>
      </c>
      <c r="X433" s="58" t="s">
        <v>94</v>
      </c>
      <c r="Y433" s="61">
        <f>35562+(6*364)</f>
        <v>37746</v>
      </c>
      <c r="Z433" s="44">
        <f t="shared" ca="1" si="6"/>
        <v>21</v>
      </c>
    </row>
    <row r="434" spans="1:26" x14ac:dyDescent="0.25">
      <c r="A434" s="52" t="s">
        <v>736</v>
      </c>
      <c r="B434" s="52" t="s">
        <v>104</v>
      </c>
      <c r="C434" s="53">
        <v>73480</v>
      </c>
      <c r="D434" s="54">
        <v>38602</v>
      </c>
      <c r="K434" s="54"/>
      <c r="N434" s="62">
        <v>652005846</v>
      </c>
      <c r="O434" s="56">
        <v>9702889182</v>
      </c>
      <c r="P434" s="44"/>
      <c r="Q434" s="57">
        <v>31859</v>
      </c>
      <c r="R434" s="58" t="s">
        <v>87</v>
      </c>
      <c r="S434" s="45"/>
      <c r="T434" s="45"/>
      <c r="U434" s="59">
        <v>661003450</v>
      </c>
      <c r="V434" s="58" t="s">
        <v>526</v>
      </c>
      <c r="W434" s="60" t="s">
        <v>89</v>
      </c>
      <c r="X434" s="58" t="s">
        <v>80</v>
      </c>
      <c r="Y434" s="61">
        <f>38254+(6*364)</f>
        <v>40438</v>
      </c>
      <c r="Z434" s="44">
        <f t="shared" ca="1" si="6"/>
        <v>14</v>
      </c>
    </row>
    <row r="435" spans="1:26" x14ac:dyDescent="0.25">
      <c r="A435" s="52" t="s">
        <v>737</v>
      </c>
      <c r="B435" s="52" t="s">
        <v>104</v>
      </c>
      <c r="C435" s="53">
        <v>85730</v>
      </c>
      <c r="D435" s="54">
        <v>34521</v>
      </c>
      <c r="K435" s="54"/>
      <c r="N435" s="55">
        <v>654000868</v>
      </c>
      <c r="O435" s="56">
        <v>3036126835</v>
      </c>
      <c r="P435" s="44"/>
      <c r="Q435" s="57">
        <v>50445</v>
      </c>
      <c r="R435" s="58" t="s">
        <v>87</v>
      </c>
      <c r="S435" s="45"/>
      <c r="T435" s="45"/>
      <c r="U435" s="59">
        <v>210004611</v>
      </c>
      <c r="V435" s="58" t="s">
        <v>378</v>
      </c>
      <c r="W435" s="60" t="s">
        <v>89</v>
      </c>
      <c r="X435" s="58" t="s">
        <v>90</v>
      </c>
      <c r="Y435" s="61">
        <f>37303+(6*364)</f>
        <v>39487</v>
      </c>
      <c r="Z435" s="44">
        <f t="shared" ca="1" si="6"/>
        <v>17</v>
      </c>
    </row>
    <row r="436" spans="1:26" x14ac:dyDescent="0.25">
      <c r="A436" s="52" t="s">
        <v>738</v>
      </c>
      <c r="B436" s="52" t="s">
        <v>104</v>
      </c>
      <c r="C436" s="53">
        <v>13833</v>
      </c>
      <c r="D436" s="54">
        <v>21694</v>
      </c>
      <c r="K436" s="54"/>
      <c r="N436" s="62">
        <v>655003417</v>
      </c>
      <c r="O436" s="56">
        <v>9707692593</v>
      </c>
      <c r="P436" s="44" t="s">
        <v>92</v>
      </c>
      <c r="Q436" s="57">
        <v>38649</v>
      </c>
      <c r="R436" s="58" t="s">
        <v>71</v>
      </c>
      <c r="S436" s="45"/>
      <c r="T436" s="45"/>
      <c r="U436" s="59">
        <v>582003779</v>
      </c>
      <c r="V436" s="58" t="s">
        <v>716</v>
      </c>
      <c r="W436" s="60" t="s">
        <v>154</v>
      </c>
      <c r="X436" s="58" t="s">
        <v>80</v>
      </c>
      <c r="Y436" s="61">
        <f>35902+(6*364)</f>
        <v>38086</v>
      </c>
      <c r="Z436" s="44">
        <f t="shared" ca="1" si="6"/>
        <v>20</v>
      </c>
    </row>
    <row r="437" spans="1:26" x14ac:dyDescent="0.25">
      <c r="A437" s="52" t="s">
        <v>739</v>
      </c>
      <c r="B437" s="52" t="s">
        <v>104</v>
      </c>
      <c r="C437" s="53">
        <v>66651</v>
      </c>
      <c r="D437" s="54">
        <v>64012</v>
      </c>
      <c r="K437" s="54"/>
      <c r="N437" s="62">
        <v>655006620</v>
      </c>
      <c r="O437" s="56">
        <v>9706412482</v>
      </c>
      <c r="P437" s="44" t="s">
        <v>99</v>
      </c>
      <c r="Q437" s="57">
        <v>62730</v>
      </c>
      <c r="R437" s="58" t="s">
        <v>71</v>
      </c>
      <c r="S437" s="45"/>
      <c r="T437" s="45"/>
      <c r="U437" s="59">
        <v>519001733</v>
      </c>
      <c r="V437" s="58" t="s">
        <v>379</v>
      </c>
      <c r="W437" s="60" t="s">
        <v>89</v>
      </c>
      <c r="X437" s="58" t="s">
        <v>94</v>
      </c>
      <c r="Y437" s="61">
        <f>36402+(6*364)</f>
        <v>38586</v>
      </c>
      <c r="Z437" s="44">
        <f t="shared" ca="1" si="6"/>
        <v>19</v>
      </c>
    </row>
    <row r="438" spans="1:26" x14ac:dyDescent="0.25">
      <c r="A438" s="52" t="s">
        <v>740</v>
      </c>
      <c r="B438" s="52" t="s">
        <v>104</v>
      </c>
      <c r="C438" s="53">
        <v>99330</v>
      </c>
      <c r="D438" s="54">
        <v>129297</v>
      </c>
      <c r="K438" s="54"/>
      <c r="N438" s="62">
        <v>656005972</v>
      </c>
      <c r="O438" s="56">
        <v>5054125294</v>
      </c>
      <c r="P438" s="44" t="s">
        <v>99</v>
      </c>
      <c r="Q438" s="57">
        <v>97028</v>
      </c>
      <c r="R438" s="58" t="s">
        <v>71</v>
      </c>
      <c r="S438" s="45"/>
      <c r="T438" s="45"/>
      <c r="U438" s="59">
        <v>635002174</v>
      </c>
      <c r="V438" s="58" t="s">
        <v>236</v>
      </c>
      <c r="W438" s="60" t="s">
        <v>154</v>
      </c>
      <c r="X438" s="58" t="s">
        <v>94</v>
      </c>
      <c r="Y438" s="61">
        <f>38141+(6*364)</f>
        <v>40325</v>
      </c>
      <c r="Z438" s="44">
        <f t="shared" ca="1" si="6"/>
        <v>14</v>
      </c>
    </row>
    <row r="439" spans="1:26" x14ac:dyDescent="0.25">
      <c r="A439" s="52" t="s">
        <v>158</v>
      </c>
      <c r="B439" s="52" t="s">
        <v>205</v>
      </c>
      <c r="C439" s="53">
        <v>14058</v>
      </c>
      <c r="D439" s="54">
        <v>55824</v>
      </c>
      <c r="K439" s="54"/>
      <c r="N439" s="62">
        <v>657003757</v>
      </c>
      <c r="O439" s="56">
        <v>7193199265</v>
      </c>
      <c r="P439" s="44" t="s">
        <v>92</v>
      </c>
      <c r="Q439" s="57">
        <v>50526</v>
      </c>
      <c r="R439" s="58" t="s">
        <v>71</v>
      </c>
      <c r="S439" s="45"/>
      <c r="T439" s="45"/>
      <c r="U439" s="59">
        <v>934008045</v>
      </c>
      <c r="V439" s="58" t="s">
        <v>290</v>
      </c>
      <c r="W439" s="60" t="s">
        <v>89</v>
      </c>
      <c r="X439" s="58" t="s">
        <v>90</v>
      </c>
      <c r="Y439" s="61">
        <f>42558+(6*364)</f>
        <v>44742</v>
      </c>
      <c r="Z439" s="44">
        <f t="shared" ca="1" si="6"/>
        <v>2</v>
      </c>
    </row>
    <row r="440" spans="1:26" x14ac:dyDescent="0.25">
      <c r="A440" s="52" t="s">
        <v>182</v>
      </c>
      <c r="B440" s="52" t="s">
        <v>205</v>
      </c>
      <c r="C440" s="53">
        <v>44858</v>
      </c>
      <c r="D440" s="54">
        <v>72818</v>
      </c>
      <c r="K440" s="54"/>
      <c r="N440" s="55">
        <v>658001541</v>
      </c>
      <c r="O440" s="56">
        <v>3037785583</v>
      </c>
      <c r="P440" s="44"/>
      <c r="Q440" s="57">
        <v>95602</v>
      </c>
      <c r="R440" s="58" t="s">
        <v>87</v>
      </c>
      <c r="S440" s="45"/>
      <c r="T440" s="45"/>
      <c r="U440" s="59">
        <v>281007639</v>
      </c>
      <c r="V440" s="58" t="s">
        <v>718</v>
      </c>
      <c r="W440" s="60" t="s">
        <v>79</v>
      </c>
      <c r="X440" s="58" t="s">
        <v>85</v>
      </c>
      <c r="Y440" s="61">
        <f>35626+(6*364)</f>
        <v>37810</v>
      </c>
      <c r="Z440" s="44">
        <f t="shared" ca="1" si="6"/>
        <v>21</v>
      </c>
    </row>
    <row r="441" spans="1:26" x14ac:dyDescent="0.25">
      <c r="A441" s="52" t="s">
        <v>268</v>
      </c>
      <c r="B441" s="52" t="s">
        <v>205</v>
      </c>
      <c r="C441" s="53">
        <v>67778</v>
      </c>
      <c r="D441" s="54">
        <v>74197</v>
      </c>
      <c r="K441" s="54"/>
      <c r="N441" s="55">
        <v>658002956</v>
      </c>
      <c r="O441" s="56">
        <v>5052453666</v>
      </c>
      <c r="P441" s="44"/>
      <c r="Q441" s="57">
        <v>98788</v>
      </c>
      <c r="R441" s="58" t="s">
        <v>87</v>
      </c>
      <c r="S441" s="45"/>
      <c r="T441" s="45"/>
      <c r="U441" s="59">
        <v>813001034</v>
      </c>
      <c r="V441" s="58" t="s">
        <v>346</v>
      </c>
      <c r="W441" s="60" t="s">
        <v>73</v>
      </c>
      <c r="X441" s="58" t="s">
        <v>90</v>
      </c>
      <c r="Y441" s="61">
        <f>38992+(6*364)</f>
        <v>41176</v>
      </c>
      <c r="Z441" s="44">
        <f t="shared" ca="1" si="6"/>
        <v>12</v>
      </c>
    </row>
    <row r="442" spans="1:26" x14ac:dyDescent="0.25">
      <c r="A442" s="52" t="s">
        <v>435</v>
      </c>
      <c r="B442" s="52" t="s">
        <v>205</v>
      </c>
      <c r="C442" s="53">
        <v>46326</v>
      </c>
      <c r="D442" s="54">
        <v>64274</v>
      </c>
      <c r="K442" s="54"/>
      <c r="N442" s="62">
        <v>659009795</v>
      </c>
      <c r="O442" s="56">
        <v>7194752921</v>
      </c>
      <c r="P442" s="44" t="s">
        <v>92</v>
      </c>
      <c r="Q442" s="57">
        <v>124587</v>
      </c>
      <c r="R442" s="58" t="s">
        <v>71</v>
      </c>
      <c r="S442" s="45"/>
      <c r="T442" s="45"/>
      <c r="U442" s="59">
        <v>348003222</v>
      </c>
      <c r="V442" s="58" t="s">
        <v>719</v>
      </c>
      <c r="W442" s="60" t="s">
        <v>79</v>
      </c>
      <c r="X442" s="58" t="s">
        <v>90</v>
      </c>
      <c r="Y442" s="61">
        <f>40070+(6*364)</f>
        <v>42254</v>
      </c>
      <c r="Z442" s="44">
        <f t="shared" ca="1" si="6"/>
        <v>9</v>
      </c>
    </row>
    <row r="443" spans="1:26" x14ac:dyDescent="0.25">
      <c r="A443" s="52" t="s">
        <v>483</v>
      </c>
      <c r="B443" s="52" t="s">
        <v>205</v>
      </c>
      <c r="C443" s="53">
        <v>88414</v>
      </c>
      <c r="D443" s="54">
        <v>69353</v>
      </c>
      <c r="K443" s="54"/>
      <c r="N443" s="62">
        <v>660005429</v>
      </c>
      <c r="O443" s="56">
        <v>3035968632</v>
      </c>
      <c r="P443" s="44"/>
      <c r="Q443" s="57">
        <v>87499</v>
      </c>
      <c r="R443" s="58" t="s">
        <v>87</v>
      </c>
      <c r="S443" s="45"/>
      <c r="T443" s="45"/>
      <c r="U443" s="59">
        <v>323007315</v>
      </c>
      <c r="V443" s="58" t="s">
        <v>115</v>
      </c>
      <c r="W443" s="60" t="s">
        <v>79</v>
      </c>
      <c r="X443" s="58" t="s">
        <v>147</v>
      </c>
      <c r="Y443" s="61">
        <f>37971+(6*364)</f>
        <v>40155</v>
      </c>
      <c r="Z443" s="44">
        <f t="shared" ca="1" si="6"/>
        <v>15</v>
      </c>
    </row>
    <row r="444" spans="1:26" x14ac:dyDescent="0.25">
      <c r="A444" s="52" t="s">
        <v>502</v>
      </c>
      <c r="B444" s="52" t="s">
        <v>205</v>
      </c>
      <c r="C444" s="53">
        <v>75161</v>
      </c>
      <c r="D444" s="54">
        <v>66195</v>
      </c>
      <c r="K444" s="54"/>
      <c r="N444" s="62">
        <v>661003450</v>
      </c>
      <c r="O444" s="56">
        <v>9708012440</v>
      </c>
      <c r="P444" s="44" t="s">
        <v>70</v>
      </c>
      <c r="Q444" s="57">
        <v>71821</v>
      </c>
      <c r="R444" s="58" t="s">
        <v>71</v>
      </c>
      <c r="S444" s="45"/>
      <c r="T444" s="45"/>
      <c r="U444" s="59">
        <v>811004245</v>
      </c>
      <c r="V444" s="58" t="s">
        <v>720</v>
      </c>
      <c r="W444" s="60" t="s">
        <v>89</v>
      </c>
      <c r="X444" s="58" t="s">
        <v>94</v>
      </c>
      <c r="Y444" s="61">
        <f>35434+(6*364)</f>
        <v>37618</v>
      </c>
      <c r="Z444" s="44">
        <f t="shared" ca="1" si="6"/>
        <v>22</v>
      </c>
    </row>
    <row r="445" spans="1:26" x14ac:dyDescent="0.25">
      <c r="A445" s="52" t="s">
        <v>507</v>
      </c>
      <c r="B445" s="52" t="s">
        <v>205</v>
      </c>
      <c r="C445" s="53">
        <v>48162</v>
      </c>
      <c r="D445" s="54">
        <v>111004</v>
      </c>
      <c r="K445" s="54"/>
      <c r="N445" s="55">
        <v>662003088</v>
      </c>
      <c r="O445" s="56">
        <v>7192780847</v>
      </c>
      <c r="P445" s="44" t="s">
        <v>70</v>
      </c>
      <c r="Q445" s="57">
        <v>53685</v>
      </c>
      <c r="R445" s="58" t="s">
        <v>77</v>
      </c>
      <c r="S445" s="45"/>
      <c r="T445" s="45"/>
      <c r="U445" s="59">
        <v>337005962</v>
      </c>
      <c r="V445" s="58" t="s">
        <v>722</v>
      </c>
      <c r="W445" s="60" t="s">
        <v>84</v>
      </c>
      <c r="X445" s="58" t="s">
        <v>190</v>
      </c>
      <c r="Y445" s="61">
        <f>37438+(6*364)</f>
        <v>39622</v>
      </c>
      <c r="Z445" s="44">
        <f t="shared" ca="1" si="6"/>
        <v>16</v>
      </c>
    </row>
    <row r="446" spans="1:26" x14ac:dyDescent="0.25">
      <c r="A446" s="52" t="s">
        <v>579</v>
      </c>
      <c r="B446" s="52" t="s">
        <v>205</v>
      </c>
      <c r="C446" s="53">
        <v>37552</v>
      </c>
      <c r="D446" s="54">
        <v>134609</v>
      </c>
      <c r="K446" s="54"/>
      <c r="N446" s="62">
        <v>662007569</v>
      </c>
      <c r="O446" s="56">
        <v>3033294956</v>
      </c>
      <c r="P446" s="44" t="s">
        <v>82</v>
      </c>
      <c r="Q446" s="57">
        <v>120167</v>
      </c>
      <c r="R446" s="58" t="s">
        <v>71</v>
      </c>
      <c r="S446" s="45"/>
      <c r="T446" s="45"/>
      <c r="U446" s="59">
        <v>167004590</v>
      </c>
      <c r="V446" s="58" t="s">
        <v>528</v>
      </c>
      <c r="W446" s="60" t="s">
        <v>154</v>
      </c>
      <c r="X446" s="58" t="s">
        <v>90</v>
      </c>
      <c r="Y446" s="61">
        <f>38628+(6*364)</f>
        <v>40812</v>
      </c>
      <c r="Z446" s="44">
        <f t="shared" ca="1" si="6"/>
        <v>13</v>
      </c>
    </row>
    <row r="447" spans="1:26" x14ac:dyDescent="0.25">
      <c r="A447" s="52" t="s">
        <v>618</v>
      </c>
      <c r="B447" s="52" t="s">
        <v>205</v>
      </c>
      <c r="C447" s="53">
        <v>86461</v>
      </c>
      <c r="D447" s="54">
        <v>78027</v>
      </c>
      <c r="K447" s="54"/>
      <c r="N447" s="62">
        <v>663000789</v>
      </c>
      <c r="O447" s="56">
        <v>5052672603</v>
      </c>
      <c r="P447" s="44"/>
      <c r="Q447" s="57">
        <v>47023</v>
      </c>
      <c r="R447" s="58" t="s">
        <v>109</v>
      </c>
      <c r="S447" s="45"/>
      <c r="T447" s="45"/>
      <c r="U447" s="59">
        <v>550004629</v>
      </c>
      <c r="V447" s="58" t="s">
        <v>721</v>
      </c>
      <c r="W447" s="60" t="s">
        <v>89</v>
      </c>
      <c r="X447" s="58" t="s">
        <v>94</v>
      </c>
      <c r="Y447" s="61">
        <f>38460+(6*364)</f>
        <v>40644</v>
      </c>
      <c r="Z447" s="44">
        <f t="shared" ca="1" si="6"/>
        <v>13</v>
      </c>
    </row>
    <row r="448" spans="1:26" x14ac:dyDescent="0.25">
      <c r="A448" s="52" t="s">
        <v>714</v>
      </c>
      <c r="B448" s="52" t="s">
        <v>205</v>
      </c>
      <c r="C448" s="53">
        <v>47620</v>
      </c>
      <c r="D448" s="54">
        <v>78755</v>
      </c>
      <c r="K448" s="54"/>
      <c r="N448" s="55">
        <v>665009296</v>
      </c>
      <c r="O448" s="56">
        <v>3033558443</v>
      </c>
      <c r="P448" s="44" t="s">
        <v>99</v>
      </c>
      <c r="Q448" s="57">
        <v>105368</v>
      </c>
      <c r="R448" s="58" t="s">
        <v>71</v>
      </c>
      <c r="S448" s="45"/>
      <c r="T448" s="45"/>
      <c r="U448" s="59">
        <v>119001416</v>
      </c>
      <c r="V448" s="58" t="s">
        <v>530</v>
      </c>
      <c r="W448" s="60" t="s">
        <v>73</v>
      </c>
      <c r="X448" s="58" t="s">
        <v>80</v>
      </c>
      <c r="Y448" s="61">
        <f>36458+(6*364)</f>
        <v>38642</v>
      </c>
      <c r="Z448" s="44">
        <f t="shared" ca="1" si="6"/>
        <v>19</v>
      </c>
    </row>
    <row r="449" spans="1:26" x14ac:dyDescent="0.25">
      <c r="A449" s="52" t="s">
        <v>747</v>
      </c>
      <c r="B449" s="52" t="s">
        <v>205</v>
      </c>
      <c r="C449" s="53">
        <v>63682</v>
      </c>
      <c r="D449" s="54">
        <v>36615</v>
      </c>
      <c r="K449" s="54"/>
      <c r="N449" s="62">
        <v>666007587</v>
      </c>
      <c r="O449" s="56">
        <v>7198253211</v>
      </c>
      <c r="P449" s="44" t="s">
        <v>99</v>
      </c>
      <c r="Q449" s="57">
        <v>55634</v>
      </c>
      <c r="R449" s="58" t="s">
        <v>71</v>
      </c>
      <c r="S449" s="45"/>
      <c r="T449" s="45"/>
      <c r="U449" s="59">
        <v>763008893</v>
      </c>
      <c r="V449" s="58" t="s">
        <v>723</v>
      </c>
      <c r="W449" s="60" t="s">
        <v>89</v>
      </c>
      <c r="X449" s="58" t="s">
        <v>74</v>
      </c>
      <c r="Y449" s="61">
        <f>37863+(6*364)</f>
        <v>40047</v>
      </c>
      <c r="Z449" s="44">
        <f t="shared" ca="1" si="6"/>
        <v>15</v>
      </c>
    </row>
    <row r="450" spans="1:26" x14ac:dyDescent="0.25">
      <c r="A450" s="52" t="s">
        <v>748</v>
      </c>
      <c r="B450" s="52" t="s">
        <v>205</v>
      </c>
      <c r="C450" s="53">
        <v>83104</v>
      </c>
      <c r="D450" s="54">
        <v>107612</v>
      </c>
      <c r="K450" s="54"/>
      <c r="N450" s="55">
        <v>667000637</v>
      </c>
      <c r="O450" s="56">
        <v>5055993367</v>
      </c>
      <c r="P450" s="44"/>
      <c r="Q450" s="57">
        <v>78135</v>
      </c>
      <c r="R450" s="58" t="s">
        <v>109</v>
      </c>
      <c r="S450" s="45"/>
      <c r="T450" s="45"/>
      <c r="U450" s="59">
        <v>372002058</v>
      </c>
      <c r="V450" s="58" t="s">
        <v>418</v>
      </c>
      <c r="W450" s="60" t="s">
        <v>73</v>
      </c>
      <c r="X450" s="58" t="s">
        <v>107</v>
      </c>
      <c r="Y450" s="61">
        <f>38942+(6*364)</f>
        <v>41126</v>
      </c>
      <c r="Z450" s="44">
        <f t="shared" ref="Z450:Z513" ca="1" si="7">DATEDIF(Y450,TODAY(),"Y")</f>
        <v>12</v>
      </c>
    </row>
    <row r="451" spans="1:26" x14ac:dyDescent="0.25">
      <c r="A451" s="52" t="s">
        <v>749</v>
      </c>
      <c r="B451" s="52" t="s">
        <v>205</v>
      </c>
      <c r="C451" s="53">
        <v>47445</v>
      </c>
      <c r="D451" s="54">
        <v>119721</v>
      </c>
      <c r="K451" s="54"/>
      <c r="N451" s="62">
        <v>667003548</v>
      </c>
      <c r="O451" s="56">
        <v>3034733288</v>
      </c>
      <c r="P451" s="44" t="s">
        <v>99</v>
      </c>
      <c r="Q451" s="57">
        <v>48473</v>
      </c>
      <c r="R451" s="58" t="s">
        <v>71</v>
      </c>
      <c r="S451" s="45"/>
      <c r="T451" s="45"/>
      <c r="U451" s="59">
        <v>753002270</v>
      </c>
      <c r="V451" s="58" t="s">
        <v>729</v>
      </c>
      <c r="W451" s="60" t="s">
        <v>73</v>
      </c>
      <c r="X451" s="58" t="s">
        <v>159</v>
      </c>
      <c r="Y451" s="61">
        <f>35107+(6*364)</f>
        <v>37291</v>
      </c>
      <c r="Z451" s="44">
        <f t="shared" ca="1" si="7"/>
        <v>23</v>
      </c>
    </row>
    <row r="452" spans="1:26" x14ac:dyDescent="0.25">
      <c r="A452" s="52" t="s">
        <v>750</v>
      </c>
      <c r="B452" s="52" t="s">
        <v>205</v>
      </c>
      <c r="C452" s="53">
        <v>53633</v>
      </c>
      <c r="D452" s="54">
        <v>71463</v>
      </c>
      <c r="K452" s="54"/>
      <c r="N452" s="62">
        <v>669007373</v>
      </c>
      <c r="O452" s="56">
        <v>3033967339</v>
      </c>
      <c r="P452" s="44" t="s">
        <v>99</v>
      </c>
      <c r="Q452" s="57">
        <v>75088</v>
      </c>
      <c r="R452" s="58" t="s">
        <v>71</v>
      </c>
      <c r="S452" s="45"/>
      <c r="T452" s="45"/>
      <c r="U452" s="59">
        <v>722008764</v>
      </c>
      <c r="V452" s="58" t="s">
        <v>731</v>
      </c>
      <c r="W452" s="60" t="s">
        <v>89</v>
      </c>
      <c r="X452" s="58" t="s">
        <v>90</v>
      </c>
      <c r="Y452" s="61">
        <f>37933+(6*364)</f>
        <v>40117</v>
      </c>
      <c r="Z452" s="44">
        <f t="shared" ca="1" si="7"/>
        <v>15</v>
      </c>
    </row>
    <row r="453" spans="1:26" x14ac:dyDescent="0.25">
      <c r="A453" s="52" t="s">
        <v>751</v>
      </c>
      <c r="B453" s="52" t="s">
        <v>205</v>
      </c>
      <c r="C453" s="53">
        <v>53440</v>
      </c>
      <c r="D453" s="54">
        <v>125266</v>
      </c>
      <c r="K453" s="54"/>
      <c r="N453" s="62">
        <v>670006997</v>
      </c>
      <c r="O453" s="56">
        <v>7191397811</v>
      </c>
      <c r="P453" s="44" t="s">
        <v>82</v>
      </c>
      <c r="Q453" s="57">
        <v>48398</v>
      </c>
      <c r="R453" s="58" t="s">
        <v>71</v>
      </c>
      <c r="S453" s="45"/>
      <c r="T453" s="45"/>
      <c r="U453" s="59">
        <v>317007570</v>
      </c>
      <c r="V453" s="58" t="s">
        <v>724</v>
      </c>
      <c r="W453" s="60" t="s">
        <v>73</v>
      </c>
      <c r="X453" s="58" t="s">
        <v>80</v>
      </c>
      <c r="Y453" s="61">
        <f>42159+(6*364)</f>
        <v>44343</v>
      </c>
      <c r="Z453" s="44">
        <f t="shared" ca="1" si="7"/>
        <v>3</v>
      </c>
    </row>
    <row r="454" spans="1:26" x14ac:dyDescent="0.25">
      <c r="A454" s="52" t="s">
        <v>752</v>
      </c>
      <c r="B454" s="52" t="s">
        <v>205</v>
      </c>
      <c r="C454" s="53">
        <v>61904</v>
      </c>
      <c r="D454" s="54">
        <v>71550</v>
      </c>
      <c r="K454" s="54"/>
      <c r="N454" s="62">
        <v>672001950</v>
      </c>
      <c r="O454" s="56">
        <v>7195085809</v>
      </c>
      <c r="P454" s="44"/>
      <c r="Q454" s="57">
        <v>42259</v>
      </c>
      <c r="R454" s="58" t="s">
        <v>87</v>
      </c>
      <c r="S454" s="45"/>
      <c r="T454" s="45"/>
      <c r="U454" s="59">
        <v>712008310</v>
      </c>
      <c r="V454" s="58" t="s">
        <v>532</v>
      </c>
      <c r="W454" s="60" t="s">
        <v>79</v>
      </c>
      <c r="X454" s="58" t="s">
        <v>90</v>
      </c>
      <c r="Y454" s="61">
        <f>40213+(6*364)</f>
        <v>42397</v>
      </c>
      <c r="Z454" s="44">
        <f t="shared" ca="1" si="7"/>
        <v>9</v>
      </c>
    </row>
    <row r="455" spans="1:26" x14ac:dyDescent="0.25">
      <c r="A455" s="52" t="s">
        <v>78</v>
      </c>
      <c r="B455" s="52" t="s">
        <v>94</v>
      </c>
      <c r="C455" s="53">
        <v>61926</v>
      </c>
      <c r="D455" s="54">
        <v>76586</v>
      </c>
      <c r="K455" s="54"/>
      <c r="N455" s="62">
        <v>672004852</v>
      </c>
      <c r="O455" s="56">
        <v>3038155179</v>
      </c>
      <c r="P455" s="44" t="s">
        <v>92</v>
      </c>
      <c r="Q455" s="57">
        <v>110346</v>
      </c>
      <c r="R455" s="58" t="s">
        <v>71</v>
      </c>
      <c r="S455" s="45"/>
      <c r="T455" s="45"/>
      <c r="U455" s="59">
        <v>285002290</v>
      </c>
      <c r="V455" s="58" t="s">
        <v>534</v>
      </c>
      <c r="W455" s="60" t="s">
        <v>73</v>
      </c>
      <c r="X455" s="58" t="s">
        <v>96</v>
      </c>
      <c r="Y455" s="61">
        <f>38184+(6*364)</f>
        <v>40368</v>
      </c>
      <c r="Z455" s="44">
        <f t="shared" ca="1" si="7"/>
        <v>14</v>
      </c>
    </row>
    <row r="456" spans="1:26" x14ac:dyDescent="0.25">
      <c r="A456" s="52" t="s">
        <v>100</v>
      </c>
      <c r="B456" s="52" t="s">
        <v>94</v>
      </c>
      <c r="C456" s="53">
        <v>77360</v>
      </c>
      <c r="D456" s="54">
        <v>51905</v>
      </c>
      <c r="K456" s="54"/>
      <c r="N456" s="62">
        <v>672005488</v>
      </c>
      <c r="O456" s="56">
        <v>9702263363</v>
      </c>
      <c r="P456" s="44" t="s">
        <v>82</v>
      </c>
      <c r="Q456" s="57">
        <v>78035</v>
      </c>
      <c r="R456" s="58" t="s">
        <v>71</v>
      </c>
      <c r="S456" s="45"/>
      <c r="T456" s="45"/>
      <c r="U456" s="59">
        <v>646009109</v>
      </c>
      <c r="V456" s="58" t="s">
        <v>725</v>
      </c>
      <c r="W456" s="60" t="s">
        <v>73</v>
      </c>
      <c r="X456" s="58" t="s">
        <v>80</v>
      </c>
      <c r="Y456" s="61">
        <f>36976+(6*364)</f>
        <v>39160</v>
      </c>
      <c r="Z456" s="44">
        <f t="shared" ca="1" si="7"/>
        <v>17</v>
      </c>
    </row>
    <row r="457" spans="1:26" x14ac:dyDescent="0.25">
      <c r="A457" s="52" t="s">
        <v>124</v>
      </c>
      <c r="B457" s="52" t="s">
        <v>94</v>
      </c>
      <c r="C457" s="53">
        <v>15340</v>
      </c>
      <c r="D457" s="54">
        <v>91968</v>
      </c>
      <c r="K457" s="54"/>
      <c r="N457" s="62">
        <v>672005934</v>
      </c>
      <c r="O457" s="56">
        <v>3033373445</v>
      </c>
      <c r="P457" s="44"/>
      <c r="Q457" s="57">
        <v>44547</v>
      </c>
      <c r="R457" s="58" t="s">
        <v>87</v>
      </c>
      <c r="S457" s="45"/>
      <c r="T457" s="45"/>
      <c r="U457" s="59">
        <v>909006073</v>
      </c>
      <c r="V457" s="58" t="s">
        <v>117</v>
      </c>
      <c r="W457" s="60" t="s">
        <v>73</v>
      </c>
      <c r="X457" s="58" t="s">
        <v>80</v>
      </c>
      <c r="Y457" s="61">
        <f>37200+(6*364)</f>
        <v>39384</v>
      </c>
      <c r="Z457" s="44">
        <f t="shared" ca="1" si="7"/>
        <v>17</v>
      </c>
    </row>
    <row r="458" spans="1:26" x14ac:dyDescent="0.25">
      <c r="A458" s="52" t="s">
        <v>211</v>
      </c>
      <c r="B458" s="52" t="s">
        <v>94</v>
      </c>
      <c r="C458" s="53">
        <v>51990</v>
      </c>
      <c r="D458" s="54">
        <v>85929</v>
      </c>
      <c r="K458" s="54"/>
      <c r="N458" s="62">
        <v>674001782</v>
      </c>
      <c r="O458" s="56">
        <v>7195267252</v>
      </c>
      <c r="P458" s="44" t="s">
        <v>76</v>
      </c>
      <c r="Q458" s="57">
        <v>36561</v>
      </c>
      <c r="R458" s="58" t="s">
        <v>71</v>
      </c>
      <c r="S458" s="45"/>
      <c r="T458" s="45"/>
      <c r="U458" s="59">
        <v>312004311</v>
      </c>
      <c r="V458" s="58" t="s">
        <v>535</v>
      </c>
      <c r="W458" s="60" t="s">
        <v>101</v>
      </c>
      <c r="X458" s="58" t="s">
        <v>96</v>
      </c>
      <c r="Y458" s="61">
        <f>38141+(6*364)</f>
        <v>40325</v>
      </c>
      <c r="Z458" s="44">
        <f t="shared" ca="1" si="7"/>
        <v>14</v>
      </c>
    </row>
    <row r="459" spans="1:26" x14ac:dyDescent="0.25">
      <c r="A459" s="52" t="s">
        <v>214</v>
      </c>
      <c r="B459" s="52" t="s">
        <v>94</v>
      </c>
      <c r="C459" s="53">
        <v>22733</v>
      </c>
      <c r="D459" s="54">
        <v>83383</v>
      </c>
      <c r="K459" s="54"/>
      <c r="N459" s="62">
        <v>674004159</v>
      </c>
      <c r="O459" s="56">
        <v>5052153322</v>
      </c>
      <c r="P459" s="44"/>
      <c r="Q459" s="57">
        <v>90237</v>
      </c>
      <c r="R459" s="58" t="s">
        <v>87</v>
      </c>
      <c r="S459" s="45"/>
      <c r="T459" s="45"/>
      <c r="U459" s="59">
        <v>672001950</v>
      </c>
      <c r="V459" s="58" t="s">
        <v>238</v>
      </c>
      <c r="W459" s="60" t="s">
        <v>73</v>
      </c>
      <c r="X459" s="58" t="s">
        <v>147</v>
      </c>
      <c r="Y459" s="61">
        <f>39727+(6*364)</f>
        <v>41911</v>
      </c>
      <c r="Z459" s="44">
        <f t="shared" ca="1" si="7"/>
        <v>10</v>
      </c>
    </row>
    <row r="460" spans="1:26" x14ac:dyDescent="0.25">
      <c r="A460" s="52" t="s">
        <v>226</v>
      </c>
      <c r="B460" s="52" t="s">
        <v>94</v>
      </c>
      <c r="C460" s="53">
        <v>53087</v>
      </c>
      <c r="D460" s="54">
        <v>122165</v>
      </c>
      <c r="K460" s="54"/>
      <c r="N460" s="62">
        <v>674005417</v>
      </c>
      <c r="O460" s="56">
        <v>3038678875</v>
      </c>
      <c r="P460" s="44"/>
      <c r="Q460" s="57">
        <v>116837</v>
      </c>
      <c r="R460" s="58" t="s">
        <v>109</v>
      </c>
      <c r="S460" s="45"/>
      <c r="T460" s="45"/>
      <c r="U460" s="59">
        <v>286009606</v>
      </c>
      <c r="V460" s="58" t="s">
        <v>240</v>
      </c>
      <c r="W460" s="60" t="s">
        <v>89</v>
      </c>
      <c r="X460" s="58" t="s">
        <v>94</v>
      </c>
      <c r="Y460" s="61">
        <f>36650+(6*364)</f>
        <v>38834</v>
      </c>
      <c r="Z460" s="44">
        <f t="shared" ca="1" si="7"/>
        <v>18</v>
      </c>
    </row>
    <row r="461" spans="1:26" x14ac:dyDescent="0.25">
      <c r="A461" s="52" t="s">
        <v>251</v>
      </c>
      <c r="B461" s="52" t="s">
        <v>94</v>
      </c>
      <c r="C461" s="53">
        <v>66378</v>
      </c>
      <c r="D461" s="54">
        <v>110931</v>
      </c>
      <c r="K461" s="54"/>
      <c r="N461" s="62">
        <v>675000613</v>
      </c>
      <c r="O461" s="56">
        <v>7193748373</v>
      </c>
      <c r="P461" s="44" t="s">
        <v>76</v>
      </c>
      <c r="Q461" s="57">
        <v>94444</v>
      </c>
      <c r="R461" s="58" t="s">
        <v>71</v>
      </c>
      <c r="S461" s="45"/>
      <c r="T461" s="45"/>
      <c r="U461" s="59">
        <v>875002295</v>
      </c>
      <c r="V461" s="58" t="s">
        <v>741</v>
      </c>
      <c r="W461" s="60" t="s">
        <v>154</v>
      </c>
      <c r="X461" s="58" t="s">
        <v>173</v>
      </c>
      <c r="Y461" s="61">
        <f>37639+(6*364)</f>
        <v>39823</v>
      </c>
      <c r="Z461" s="44">
        <f t="shared" ca="1" si="7"/>
        <v>16</v>
      </c>
    </row>
    <row r="462" spans="1:26" x14ac:dyDescent="0.25">
      <c r="A462" s="52" t="s">
        <v>260</v>
      </c>
      <c r="B462" s="52" t="s">
        <v>94</v>
      </c>
      <c r="C462" s="53">
        <v>75807</v>
      </c>
      <c r="D462" s="54">
        <v>80602</v>
      </c>
      <c r="K462" s="54"/>
      <c r="N462" s="62">
        <v>675009095</v>
      </c>
      <c r="O462" s="56">
        <v>3034161772</v>
      </c>
      <c r="P462" s="44" t="s">
        <v>92</v>
      </c>
      <c r="Q462" s="57">
        <v>117145</v>
      </c>
      <c r="R462" s="58" t="s">
        <v>71</v>
      </c>
      <c r="S462" s="45"/>
      <c r="T462" s="45"/>
      <c r="U462" s="59">
        <v>490005392</v>
      </c>
      <c r="V462" s="58" t="s">
        <v>742</v>
      </c>
      <c r="W462" s="60" t="s">
        <v>73</v>
      </c>
      <c r="X462" s="58" t="s">
        <v>94</v>
      </c>
      <c r="Y462" s="61">
        <f>37452+(6*364)</f>
        <v>39636</v>
      </c>
      <c r="Z462" s="44">
        <f t="shared" ca="1" si="7"/>
        <v>16</v>
      </c>
    </row>
    <row r="463" spans="1:26" x14ac:dyDescent="0.25">
      <c r="A463" s="52" t="s">
        <v>262</v>
      </c>
      <c r="B463" s="52" t="s">
        <v>94</v>
      </c>
      <c r="C463" s="53">
        <v>81875</v>
      </c>
      <c r="D463" s="54">
        <v>75873</v>
      </c>
      <c r="K463" s="54"/>
      <c r="N463" s="62">
        <v>676009815</v>
      </c>
      <c r="O463" s="56">
        <v>5057950668</v>
      </c>
      <c r="P463" s="44"/>
      <c r="Q463" s="57">
        <v>95626</v>
      </c>
      <c r="R463" s="58" t="s">
        <v>87</v>
      </c>
      <c r="S463" s="45"/>
      <c r="T463" s="45"/>
      <c r="U463" s="59">
        <v>257009745</v>
      </c>
      <c r="V463" s="58" t="s">
        <v>143</v>
      </c>
      <c r="W463" s="60" t="s">
        <v>154</v>
      </c>
      <c r="X463" s="58" t="s">
        <v>160</v>
      </c>
      <c r="Y463" s="61">
        <f>37319+(6*364)</f>
        <v>39503</v>
      </c>
      <c r="Z463" s="44">
        <f t="shared" ca="1" si="7"/>
        <v>16</v>
      </c>
    </row>
    <row r="464" spans="1:26" x14ac:dyDescent="0.25">
      <c r="A464" s="52" t="s">
        <v>266</v>
      </c>
      <c r="B464" s="52" t="s">
        <v>94</v>
      </c>
      <c r="C464" s="53">
        <v>83587</v>
      </c>
      <c r="D464" s="54">
        <v>94733</v>
      </c>
      <c r="K464" s="54"/>
      <c r="N464" s="62">
        <v>677003738</v>
      </c>
      <c r="O464" s="56">
        <v>3036201509</v>
      </c>
      <c r="P464" s="44" t="s">
        <v>92</v>
      </c>
      <c r="Q464" s="57">
        <v>118409</v>
      </c>
      <c r="R464" s="58" t="s">
        <v>77</v>
      </c>
      <c r="S464" s="45"/>
      <c r="T464" s="45"/>
      <c r="U464" s="59">
        <v>621008909</v>
      </c>
      <c r="V464" s="58" t="s">
        <v>743</v>
      </c>
      <c r="W464" s="60" t="s">
        <v>73</v>
      </c>
      <c r="X464" s="58" t="s">
        <v>94</v>
      </c>
      <c r="Y464" s="61">
        <f>38264+(6*364)</f>
        <v>40448</v>
      </c>
      <c r="Z464" s="44">
        <f t="shared" ca="1" si="7"/>
        <v>14</v>
      </c>
    </row>
    <row r="465" spans="1:26" x14ac:dyDescent="0.25">
      <c r="A465" s="52" t="s">
        <v>287</v>
      </c>
      <c r="B465" s="52" t="s">
        <v>94</v>
      </c>
      <c r="C465" s="53">
        <v>19741</v>
      </c>
      <c r="D465" s="54">
        <v>74112</v>
      </c>
      <c r="K465" s="54"/>
      <c r="N465" s="62">
        <v>677006328</v>
      </c>
      <c r="O465" s="56">
        <v>9706007063</v>
      </c>
      <c r="P465" s="44"/>
      <c r="Q465" s="57">
        <v>98428</v>
      </c>
      <c r="R465" s="58" t="s">
        <v>109</v>
      </c>
      <c r="S465" s="45"/>
      <c r="T465" s="45"/>
      <c r="U465" s="59">
        <v>511002166</v>
      </c>
      <c r="V465" s="58" t="s">
        <v>744</v>
      </c>
      <c r="W465" s="60" t="s">
        <v>154</v>
      </c>
      <c r="X465" s="58" t="s">
        <v>147</v>
      </c>
      <c r="Y465" s="61">
        <f>38491+(6*364)</f>
        <v>40675</v>
      </c>
      <c r="Z465" s="44">
        <f t="shared" ca="1" si="7"/>
        <v>13</v>
      </c>
    </row>
    <row r="466" spans="1:26" x14ac:dyDescent="0.25">
      <c r="A466" s="52" t="s">
        <v>293</v>
      </c>
      <c r="B466" s="52" t="s">
        <v>94</v>
      </c>
      <c r="C466" s="53">
        <v>82243</v>
      </c>
      <c r="D466" s="54">
        <v>71696</v>
      </c>
      <c r="K466" s="54"/>
      <c r="N466" s="62">
        <v>679009564</v>
      </c>
      <c r="O466" s="56">
        <v>3033820411</v>
      </c>
      <c r="P466" s="44" t="s">
        <v>82</v>
      </c>
      <c r="Q466" s="57">
        <v>125943</v>
      </c>
      <c r="R466" s="58" t="s">
        <v>71</v>
      </c>
      <c r="S466" s="45"/>
      <c r="T466" s="45"/>
      <c r="U466" s="59">
        <v>917009448</v>
      </c>
      <c r="V466" s="58" t="s">
        <v>536</v>
      </c>
      <c r="W466" s="60" t="s">
        <v>73</v>
      </c>
      <c r="X466" s="58" t="s">
        <v>74</v>
      </c>
      <c r="Y466" s="61">
        <f>40677+(6*364)</f>
        <v>42861</v>
      </c>
      <c r="Z466" s="44">
        <f t="shared" ca="1" si="7"/>
        <v>7</v>
      </c>
    </row>
    <row r="467" spans="1:26" x14ac:dyDescent="0.25">
      <c r="A467" s="52" t="s">
        <v>311</v>
      </c>
      <c r="B467" s="52" t="s">
        <v>94</v>
      </c>
      <c r="C467" s="53">
        <v>19563</v>
      </c>
      <c r="D467" s="54">
        <v>52560</v>
      </c>
      <c r="K467" s="54"/>
      <c r="N467" s="62">
        <v>681001880</v>
      </c>
      <c r="O467" s="56">
        <v>3034588703</v>
      </c>
      <c r="P467" s="44" t="s">
        <v>76</v>
      </c>
      <c r="Q467" s="57">
        <v>95112</v>
      </c>
      <c r="R467" s="58" t="s">
        <v>71</v>
      </c>
      <c r="S467" s="45"/>
      <c r="T467" s="45"/>
      <c r="U467" s="59">
        <v>672004852</v>
      </c>
      <c r="V467" s="58" t="s">
        <v>745</v>
      </c>
      <c r="W467" s="60" t="s">
        <v>73</v>
      </c>
      <c r="X467" s="58" t="s">
        <v>176</v>
      </c>
      <c r="Y467" s="61">
        <f>39860+(6*364)</f>
        <v>42044</v>
      </c>
      <c r="Z467" s="44">
        <f t="shared" ca="1" si="7"/>
        <v>10</v>
      </c>
    </row>
    <row r="468" spans="1:26" x14ac:dyDescent="0.25">
      <c r="A468" s="52" t="s">
        <v>352</v>
      </c>
      <c r="B468" s="52" t="s">
        <v>94</v>
      </c>
      <c r="C468" s="53">
        <v>99239</v>
      </c>
      <c r="D468" s="54">
        <v>98939</v>
      </c>
      <c r="K468" s="54"/>
      <c r="N468" s="62">
        <v>684004658</v>
      </c>
      <c r="O468" s="56">
        <v>7192350434</v>
      </c>
      <c r="P468" s="44"/>
      <c r="Q468" s="57">
        <v>75173</v>
      </c>
      <c r="R468" s="58" t="s">
        <v>87</v>
      </c>
      <c r="S468" s="45"/>
      <c r="T468" s="45"/>
      <c r="U468" s="59">
        <v>553009908</v>
      </c>
      <c r="V468" s="58" t="s">
        <v>538</v>
      </c>
      <c r="W468" s="60" t="s">
        <v>79</v>
      </c>
      <c r="X468" s="58" t="s">
        <v>94</v>
      </c>
      <c r="Y468" s="61">
        <f>35582+(6*364)</f>
        <v>37766</v>
      </c>
      <c r="Z468" s="44">
        <f t="shared" ca="1" si="7"/>
        <v>21</v>
      </c>
    </row>
    <row r="469" spans="1:26" x14ac:dyDescent="0.25">
      <c r="A469" s="52" t="s">
        <v>760</v>
      </c>
      <c r="B469" s="52" t="s">
        <v>94</v>
      </c>
      <c r="C469" s="53">
        <v>24296</v>
      </c>
      <c r="D469" s="54">
        <v>107642</v>
      </c>
      <c r="K469" s="54"/>
      <c r="N469" s="62">
        <v>684009931</v>
      </c>
      <c r="O469" s="56">
        <v>5053182167</v>
      </c>
      <c r="P469" s="44" t="s">
        <v>92</v>
      </c>
      <c r="Q469" s="57">
        <v>47368</v>
      </c>
      <c r="R469" s="58" t="s">
        <v>71</v>
      </c>
      <c r="S469" s="45"/>
      <c r="T469" s="45"/>
      <c r="U469" s="59">
        <v>889001159</v>
      </c>
      <c r="V469" s="58" t="s">
        <v>383</v>
      </c>
      <c r="W469" s="60" t="s">
        <v>84</v>
      </c>
      <c r="X469" s="58" t="s">
        <v>104</v>
      </c>
      <c r="Y469" s="61">
        <f>42317+(6*364)</f>
        <v>44501</v>
      </c>
      <c r="Z469" s="44">
        <f t="shared" ca="1" si="7"/>
        <v>3</v>
      </c>
    </row>
    <row r="470" spans="1:26" x14ac:dyDescent="0.25">
      <c r="A470" s="52" t="s">
        <v>373</v>
      </c>
      <c r="B470" s="52" t="s">
        <v>94</v>
      </c>
      <c r="C470" s="53">
        <v>71321</v>
      </c>
      <c r="D470" s="54">
        <v>97844</v>
      </c>
      <c r="K470" s="54"/>
      <c r="N470" s="62">
        <v>685002167</v>
      </c>
      <c r="O470" s="56">
        <v>5056040465</v>
      </c>
      <c r="P470" s="44" t="s">
        <v>70</v>
      </c>
      <c r="Q470" s="57">
        <v>103519</v>
      </c>
      <c r="R470" s="58" t="s">
        <v>77</v>
      </c>
      <c r="S470" s="45"/>
      <c r="T470" s="45"/>
      <c r="U470" s="59">
        <v>648008204</v>
      </c>
      <c r="V470" s="58" t="s">
        <v>746</v>
      </c>
      <c r="W470" s="60" t="s">
        <v>73</v>
      </c>
      <c r="X470" s="58" t="s">
        <v>94</v>
      </c>
      <c r="Y470" s="61">
        <f>39492+(6*364)</f>
        <v>41676</v>
      </c>
      <c r="Z470" s="44">
        <f t="shared" ca="1" si="7"/>
        <v>11</v>
      </c>
    </row>
    <row r="471" spans="1:26" x14ac:dyDescent="0.25">
      <c r="A471" s="52" t="s">
        <v>762</v>
      </c>
      <c r="B471" s="52" t="s">
        <v>94</v>
      </c>
      <c r="C471" s="53">
        <v>69398</v>
      </c>
      <c r="D471" s="54">
        <v>89058</v>
      </c>
      <c r="K471" s="54"/>
      <c r="N471" s="62">
        <v>687008279</v>
      </c>
      <c r="O471" s="56">
        <v>9704442207</v>
      </c>
      <c r="P471" s="44" t="s">
        <v>92</v>
      </c>
      <c r="Q471" s="57">
        <v>127365</v>
      </c>
      <c r="R471" s="58" t="s">
        <v>71</v>
      </c>
      <c r="S471" s="45"/>
      <c r="T471" s="45"/>
      <c r="U471" s="59">
        <v>696004709</v>
      </c>
      <c r="V471" s="58" t="s">
        <v>540</v>
      </c>
      <c r="W471" s="60" t="s">
        <v>79</v>
      </c>
      <c r="X471" s="58" t="s">
        <v>176</v>
      </c>
      <c r="Y471" s="61">
        <f>38689+(6*364)</f>
        <v>40873</v>
      </c>
      <c r="Z471" s="44">
        <f t="shared" ca="1" si="7"/>
        <v>13</v>
      </c>
    </row>
    <row r="472" spans="1:26" x14ac:dyDescent="0.25">
      <c r="A472" s="52" t="s">
        <v>384</v>
      </c>
      <c r="B472" s="52" t="s">
        <v>94</v>
      </c>
      <c r="C472" s="53">
        <v>74743</v>
      </c>
      <c r="D472" s="54">
        <v>131742</v>
      </c>
      <c r="K472" s="54"/>
      <c r="N472" s="62">
        <v>690006699</v>
      </c>
      <c r="O472" s="56">
        <v>3033646601</v>
      </c>
      <c r="P472" s="44"/>
      <c r="Q472" s="57">
        <v>56359</v>
      </c>
      <c r="R472" s="58" t="s">
        <v>87</v>
      </c>
      <c r="S472" s="45"/>
      <c r="T472" s="45"/>
      <c r="U472" s="59">
        <v>222009980</v>
      </c>
      <c r="V472" s="58" t="s">
        <v>292</v>
      </c>
      <c r="W472" s="60" t="s">
        <v>73</v>
      </c>
      <c r="X472" s="58" t="s">
        <v>173</v>
      </c>
      <c r="Y472" s="61">
        <f>38403+(6*364)</f>
        <v>40587</v>
      </c>
      <c r="Z472" s="44">
        <f t="shared" ca="1" si="7"/>
        <v>14</v>
      </c>
    </row>
    <row r="473" spans="1:26" x14ac:dyDescent="0.25">
      <c r="A473" s="52" t="s">
        <v>389</v>
      </c>
      <c r="B473" s="52" t="s">
        <v>94</v>
      </c>
      <c r="C473" s="53">
        <v>11403</v>
      </c>
      <c r="D473" s="54">
        <v>135874</v>
      </c>
      <c r="K473" s="54"/>
      <c r="N473" s="62">
        <v>696001638</v>
      </c>
      <c r="O473" s="56">
        <v>7192572783</v>
      </c>
      <c r="P473" s="44" t="s">
        <v>76</v>
      </c>
      <c r="Q473" s="57">
        <v>74606</v>
      </c>
      <c r="R473" s="58" t="s">
        <v>71</v>
      </c>
      <c r="S473" s="45"/>
      <c r="T473" s="45"/>
      <c r="U473" s="59">
        <v>730001767</v>
      </c>
      <c r="V473" s="58" t="s">
        <v>385</v>
      </c>
      <c r="W473" s="60" t="s">
        <v>73</v>
      </c>
      <c r="X473" s="58" t="s">
        <v>90</v>
      </c>
      <c r="Y473" s="61">
        <f>38631+(6*364)</f>
        <v>40815</v>
      </c>
      <c r="Z473" s="44">
        <f t="shared" ca="1" si="7"/>
        <v>13</v>
      </c>
    </row>
    <row r="474" spans="1:26" x14ac:dyDescent="0.25">
      <c r="A474" s="52" t="s">
        <v>404</v>
      </c>
      <c r="B474" s="52" t="s">
        <v>94</v>
      </c>
      <c r="C474" s="53">
        <v>41447</v>
      </c>
      <c r="D474" s="54">
        <v>73953</v>
      </c>
      <c r="K474" s="54"/>
      <c r="N474" s="62">
        <v>696004709</v>
      </c>
      <c r="O474" s="56">
        <v>5051667727</v>
      </c>
      <c r="P474" s="44"/>
      <c r="Q474" s="57">
        <v>68065</v>
      </c>
      <c r="R474" s="58" t="s">
        <v>87</v>
      </c>
      <c r="S474" s="45"/>
      <c r="T474" s="45"/>
      <c r="U474" s="59">
        <v>618002890</v>
      </c>
      <c r="V474" s="58" t="s">
        <v>333</v>
      </c>
      <c r="W474" s="60" t="s">
        <v>79</v>
      </c>
      <c r="X474" s="58" t="s">
        <v>74</v>
      </c>
      <c r="Y474" s="61">
        <f>35633+(6*364)</f>
        <v>37817</v>
      </c>
      <c r="Z474" s="44">
        <f t="shared" ca="1" si="7"/>
        <v>21</v>
      </c>
    </row>
    <row r="475" spans="1:26" x14ac:dyDescent="0.25">
      <c r="A475" s="52" t="s">
        <v>421</v>
      </c>
      <c r="B475" s="52" t="s">
        <v>94</v>
      </c>
      <c r="C475" s="53">
        <v>95834</v>
      </c>
      <c r="D475" s="54">
        <v>25011</v>
      </c>
      <c r="K475" s="54"/>
      <c r="N475" s="62">
        <v>697008121</v>
      </c>
      <c r="O475" s="56">
        <v>3033274978</v>
      </c>
      <c r="P475" s="44"/>
      <c r="Q475" s="57">
        <v>99013</v>
      </c>
      <c r="R475" s="58" t="s">
        <v>87</v>
      </c>
      <c r="S475" s="45"/>
      <c r="T475" s="45"/>
      <c r="U475" s="59">
        <v>986002532</v>
      </c>
      <c r="V475" s="58" t="s">
        <v>621</v>
      </c>
      <c r="W475" s="60" t="s">
        <v>154</v>
      </c>
      <c r="X475" s="58" t="s">
        <v>80</v>
      </c>
      <c r="Y475" s="61">
        <f>36059+(6*364)</f>
        <v>38243</v>
      </c>
      <c r="Z475" s="44">
        <f t="shared" ca="1" si="7"/>
        <v>20</v>
      </c>
    </row>
    <row r="476" spans="1:26" x14ac:dyDescent="0.25">
      <c r="A476" s="52" t="s">
        <v>425</v>
      </c>
      <c r="B476" s="52" t="s">
        <v>94</v>
      </c>
      <c r="C476" s="53">
        <v>49630</v>
      </c>
      <c r="D476" s="54">
        <v>118483</v>
      </c>
      <c r="K476" s="54"/>
      <c r="N476" s="62">
        <v>698005067</v>
      </c>
      <c r="O476" s="56">
        <v>9706299247</v>
      </c>
      <c r="P476" s="44"/>
      <c r="Q476" s="57">
        <v>42522</v>
      </c>
      <c r="R476" s="58" t="s">
        <v>87</v>
      </c>
      <c r="S476" s="45"/>
      <c r="T476" s="45"/>
      <c r="U476" s="59">
        <v>118000954</v>
      </c>
      <c r="V476" s="58" t="s">
        <v>242</v>
      </c>
      <c r="W476" s="60" t="s">
        <v>73</v>
      </c>
      <c r="X476" s="58" t="s">
        <v>80</v>
      </c>
      <c r="Y476" s="61">
        <f>35605+(6*364)</f>
        <v>37789</v>
      </c>
      <c r="Z476" s="44">
        <f t="shared" ca="1" si="7"/>
        <v>21</v>
      </c>
    </row>
    <row r="477" spans="1:26" x14ac:dyDescent="0.25">
      <c r="A477" s="52" t="s">
        <v>427</v>
      </c>
      <c r="B477" s="52" t="s">
        <v>94</v>
      </c>
      <c r="C477" s="53">
        <v>29002</v>
      </c>
      <c r="D477" s="54">
        <v>80210</v>
      </c>
      <c r="K477" s="54"/>
      <c r="N477" s="62">
        <v>698008213</v>
      </c>
      <c r="O477" s="56">
        <v>5053631883</v>
      </c>
      <c r="P477" s="44"/>
      <c r="Q477" s="57">
        <v>125071</v>
      </c>
      <c r="R477" s="58" t="s">
        <v>109</v>
      </c>
      <c r="S477" s="45"/>
      <c r="T477" s="45"/>
      <c r="U477" s="59">
        <v>595000970</v>
      </c>
      <c r="V477" s="58" t="s">
        <v>18</v>
      </c>
      <c r="W477" s="60" t="s">
        <v>84</v>
      </c>
      <c r="X477" s="58" t="s">
        <v>173</v>
      </c>
      <c r="Y477" s="61">
        <f>36958+(6*364)</f>
        <v>39142</v>
      </c>
      <c r="Z477" s="44">
        <f t="shared" ca="1" si="7"/>
        <v>17</v>
      </c>
    </row>
    <row r="478" spans="1:26" x14ac:dyDescent="0.25">
      <c r="A478" s="52" t="s">
        <v>438</v>
      </c>
      <c r="B478" s="52" t="s">
        <v>94</v>
      </c>
      <c r="C478" s="53">
        <v>32219</v>
      </c>
      <c r="D478" s="54">
        <v>95605</v>
      </c>
      <c r="K478" s="54"/>
      <c r="N478" s="62">
        <v>700003966</v>
      </c>
      <c r="O478" s="56">
        <v>3034471952</v>
      </c>
      <c r="P478" s="44" t="s">
        <v>99</v>
      </c>
      <c r="Q478" s="57">
        <v>77832</v>
      </c>
      <c r="R478" s="58" t="s">
        <v>71</v>
      </c>
      <c r="S478" s="45"/>
      <c r="T478" s="45"/>
      <c r="U478" s="59">
        <v>466002274</v>
      </c>
      <c r="V478" s="58" t="s">
        <v>244</v>
      </c>
      <c r="W478" s="60" t="s">
        <v>89</v>
      </c>
      <c r="X478" s="58" t="s">
        <v>94</v>
      </c>
      <c r="Y478" s="61">
        <f>35873+(6*364)</f>
        <v>38057</v>
      </c>
      <c r="Z478" s="44">
        <f t="shared" ca="1" si="7"/>
        <v>20</v>
      </c>
    </row>
    <row r="479" spans="1:26" x14ac:dyDescent="0.25">
      <c r="A479" s="52" t="s">
        <v>439</v>
      </c>
      <c r="B479" s="52" t="s">
        <v>94</v>
      </c>
      <c r="C479" s="53">
        <v>79809</v>
      </c>
      <c r="D479" s="54">
        <v>113129</v>
      </c>
      <c r="K479" s="54"/>
      <c r="N479" s="62">
        <v>701006727</v>
      </c>
      <c r="O479" s="56">
        <v>5057446192</v>
      </c>
      <c r="P479" s="44" t="s">
        <v>92</v>
      </c>
      <c r="Q479" s="57">
        <v>65888</v>
      </c>
      <c r="R479" s="58" t="s">
        <v>77</v>
      </c>
      <c r="S479" s="45"/>
      <c r="T479" s="45"/>
      <c r="U479" s="59">
        <v>524002299</v>
      </c>
      <c r="V479" s="58" t="s">
        <v>164</v>
      </c>
      <c r="W479" s="60" t="s">
        <v>154</v>
      </c>
      <c r="X479" s="58" t="s">
        <v>90</v>
      </c>
      <c r="Y479" s="61">
        <f>37453+(6*364)</f>
        <v>39637</v>
      </c>
      <c r="Z479" s="44">
        <f t="shared" ca="1" si="7"/>
        <v>16</v>
      </c>
    </row>
    <row r="480" spans="1:26" x14ac:dyDescent="0.25">
      <c r="A480" s="52" t="s">
        <v>447</v>
      </c>
      <c r="B480" s="52" t="s">
        <v>94</v>
      </c>
      <c r="C480" s="53">
        <v>66320</v>
      </c>
      <c r="D480" s="54">
        <v>66618</v>
      </c>
      <c r="K480" s="54"/>
      <c r="N480" s="62">
        <v>702002749</v>
      </c>
      <c r="O480" s="56">
        <v>7196801348</v>
      </c>
      <c r="P480" s="44" t="s">
        <v>92</v>
      </c>
      <c r="Q480" s="57">
        <v>83866</v>
      </c>
      <c r="R480" s="58" t="s">
        <v>71</v>
      </c>
      <c r="S480" s="45"/>
      <c r="T480" s="45"/>
      <c r="U480" s="59">
        <v>848001738</v>
      </c>
      <c r="V480" s="58" t="s">
        <v>246</v>
      </c>
      <c r="W480" s="60" t="s">
        <v>89</v>
      </c>
      <c r="X480" s="58" t="s">
        <v>107</v>
      </c>
      <c r="Y480" s="61">
        <f>35451+(6*364)</f>
        <v>37635</v>
      </c>
      <c r="Z480" s="44">
        <f t="shared" ca="1" si="7"/>
        <v>22</v>
      </c>
    </row>
    <row r="481" spans="1:26" x14ac:dyDescent="0.25">
      <c r="A481" s="52" t="s">
        <v>452</v>
      </c>
      <c r="B481" s="52" t="s">
        <v>94</v>
      </c>
      <c r="C481" s="53">
        <v>26408</v>
      </c>
      <c r="D481" s="54">
        <v>112328</v>
      </c>
      <c r="K481" s="54"/>
      <c r="N481" s="62">
        <v>710008874</v>
      </c>
      <c r="O481" s="56">
        <v>3038560698</v>
      </c>
      <c r="P481" s="44" t="s">
        <v>76</v>
      </c>
      <c r="Q481" s="57">
        <v>126663</v>
      </c>
      <c r="R481" s="58" t="s">
        <v>71</v>
      </c>
      <c r="S481" s="45"/>
      <c r="T481" s="45"/>
      <c r="U481" s="59">
        <v>642002369</v>
      </c>
      <c r="V481" s="58" t="s">
        <v>753</v>
      </c>
      <c r="W481" s="60" t="s">
        <v>89</v>
      </c>
      <c r="X481" s="58" t="s">
        <v>107</v>
      </c>
      <c r="Y481" s="61">
        <f>36756+(6*364)</f>
        <v>38940</v>
      </c>
      <c r="Z481" s="44">
        <f t="shared" ca="1" si="7"/>
        <v>18</v>
      </c>
    </row>
    <row r="482" spans="1:26" x14ac:dyDescent="0.25">
      <c r="A482" s="52" t="s">
        <v>453</v>
      </c>
      <c r="B482" s="52" t="s">
        <v>94</v>
      </c>
      <c r="C482" s="53">
        <v>74791</v>
      </c>
      <c r="D482" s="54">
        <v>75509</v>
      </c>
      <c r="K482" s="54"/>
      <c r="N482" s="62">
        <v>711002724</v>
      </c>
      <c r="O482" s="56">
        <v>7195842116</v>
      </c>
      <c r="P482" s="44" t="s">
        <v>92</v>
      </c>
      <c r="Q482" s="57">
        <v>87012</v>
      </c>
      <c r="R482" s="58" t="s">
        <v>71</v>
      </c>
      <c r="S482" s="45"/>
      <c r="T482" s="45"/>
      <c r="U482" s="59">
        <v>957006313</v>
      </c>
      <c r="V482" s="58" t="s">
        <v>657</v>
      </c>
      <c r="W482" s="60" t="s">
        <v>89</v>
      </c>
      <c r="X482" s="58" t="s">
        <v>159</v>
      </c>
      <c r="Y482" s="61">
        <f>35537+(6*364)</f>
        <v>37721</v>
      </c>
      <c r="Z482" s="44">
        <f t="shared" ca="1" si="7"/>
        <v>21</v>
      </c>
    </row>
    <row r="483" spans="1:26" x14ac:dyDescent="0.25">
      <c r="A483" s="52" t="s">
        <v>766</v>
      </c>
      <c r="B483" s="52" t="s">
        <v>94</v>
      </c>
      <c r="C483" s="53">
        <v>60963</v>
      </c>
      <c r="D483" s="54">
        <v>112415</v>
      </c>
      <c r="K483" s="54"/>
      <c r="N483" s="62">
        <v>712002659</v>
      </c>
      <c r="O483" s="56">
        <v>9705520461</v>
      </c>
      <c r="P483" s="44"/>
      <c r="Q483" s="57">
        <v>46435</v>
      </c>
      <c r="R483" s="58" t="s">
        <v>87</v>
      </c>
      <c r="S483" s="45"/>
      <c r="T483" s="45"/>
      <c r="U483" s="59">
        <v>997006090</v>
      </c>
      <c r="V483" s="58" t="s">
        <v>754</v>
      </c>
      <c r="W483" s="60" t="s">
        <v>101</v>
      </c>
      <c r="X483" s="58" t="s">
        <v>90</v>
      </c>
      <c r="Y483" s="61">
        <f>36507+(6*364)</f>
        <v>38691</v>
      </c>
      <c r="Z483" s="44">
        <f t="shared" ca="1" si="7"/>
        <v>19</v>
      </c>
    </row>
    <row r="484" spans="1:26" x14ac:dyDescent="0.25">
      <c r="A484" s="52" t="s">
        <v>454</v>
      </c>
      <c r="B484" s="52" t="s">
        <v>94</v>
      </c>
      <c r="C484" s="53">
        <v>95322</v>
      </c>
      <c r="D484" s="54">
        <v>94035</v>
      </c>
      <c r="K484" s="54"/>
      <c r="N484" s="62">
        <v>712008212</v>
      </c>
      <c r="O484" s="56">
        <v>9702126707</v>
      </c>
      <c r="P484" s="44" t="s">
        <v>99</v>
      </c>
      <c r="Q484" s="57">
        <v>61285</v>
      </c>
      <c r="R484" s="58" t="s">
        <v>71</v>
      </c>
      <c r="S484" s="45"/>
      <c r="T484" s="45"/>
      <c r="U484" s="59">
        <v>756009641</v>
      </c>
      <c r="V484" s="58" t="s">
        <v>755</v>
      </c>
      <c r="W484" s="60" t="s">
        <v>73</v>
      </c>
      <c r="X484" s="58" t="s">
        <v>85</v>
      </c>
      <c r="Y484" s="61">
        <f>40286+(6*364)</f>
        <v>42470</v>
      </c>
      <c r="Z484" s="44">
        <f t="shared" ca="1" si="7"/>
        <v>8</v>
      </c>
    </row>
    <row r="485" spans="1:26" x14ac:dyDescent="0.25">
      <c r="A485" s="52" t="s">
        <v>768</v>
      </c>
      <c r="B485" s="52" t="s">
        <v>94</v>
      </c>
      <c r="C485" s="53">
        <v>71984</v>
      </c>
      <c r="D485" s="54">
        <v>98692</v>
      </c>
      <c r="K485" s="54"/>
      <c r="N485" s="62">
        <v>712008310</v>
      </c>
      <c r="O485" s="56">
        <v>7197046530</v>
      </c>
      <c r="P485" s="44"/>
      <c r="Q485" s="57">
        <v>32936</v>
      </c>
      <c r="R485" s="58" t="s">
        <v>87</v>
      </c>
      <c r="S485" s="45"/>
      <c r="T485" s="45"/>
      <c r="U485" s="59">
        <v>768000144</v>
      </c>
      <c r="V485" s="58" t="s">
        <v>756</v>
      </c>
      <c r="W485" s="60" t="s">
        <v>73</v>
      </c>
      <c r="X485" s="58" t="s">
        <v>80</v>
      </c>
      <c r="Y485" s="61">
        <f>36210+(6*364)</f>
        <v>38394</v>
      </c>
      <c r="Z485" s="44">
        <f t="shared" ca="1" si="7"/>
        <v>20</v>
      </c>
    </row>
    <row r="486" spans="1:26" x14ac:dyDescent="0.25">
      <c r="A486" s="52" t="s">
        <v>558</v>
      </c>
      <c r="B486" s="52" t="s">
        <v>94</v>
      </c>
      <c r="C486" s="53">
        <v>37044</v>
      </c>
      <c r="D486" s="54">
        <v>69774</v>
      </c>
      <c r="K486" s="54"/>
      <c r="N486" s="62">
        <v>714005339</v>
      </c>
      <c r="O486" s="56">
        <v>7196259106</v>
      </c>
      <c r="P486" s="44" t="s">
        <v>99</v>
      </c>
      <c r="Q486" s="57">
        <v>48570</v>
      </c>
      <c r="R486" s="58" t="s">
        <v>77</v>
      </c>
      <c r="S486" s="45"/>
      <c r="T486" s="45"/>
      <c r="U486" s="59">
        <v>161005645</v>
      </c>
      <c r="V486" s="58" t="s">
        <v>541</v>
      </c>
      <c r="W486" s="60" t="s">
        <v>73</v>
      </c>
      <c r="X486" s="58" t="s">
        <v>343</v>
      </c>
      <c r="Y486" s="61">
        <f>40511+(6*364)</f>
        <v>42695</v>
      </c>
      <c r="Z486" s="44">
        <f t="shared" ca="1" si="7"/>
        <v>8</v>
      </c>
    </row>
    <row r="487" spans="1:26" x14ac:dyDescent="0.25">
      <c r="A487" s="52" t="s">
        <v>581</v>
      </c>
      <c r="B487" s="52" t="s">
        <v>94</v>
      </c>
      <c r="C487" s="53">
        <v>55916</v>
      </c>
      <c r="D487" s="54">
        <v>113929</v>
      </c>
      <c r="K487" s="54"/>
      <c r="N487" s="62">
        <v>714009196</v>
      </c>
      <c r="O487" s="56">
        <v>3037557761</v>
      </c>
      <c r="P487" s="44" t="s">
        <v>99</v>
      </c>
      <c r="Q487" s="57">
        <v>94208</v>
      </c>
      <c r="R487" s="58" t="s">
        <v>77</v>
      </c>
      <c r="S487" s="45"/>
      <c r="T487" s="45"/>
      <c r="U487" s="59">
        <v>553007195</v>
      </c>
      <c r="V487" s="58" t="s">
        <v>542</v>
      </c>
      <c r="W487" s="60" t="s">
        <v>79</v>
      </c>
      <c r="X487" s="58" t="s">
        <v>74</v>
      </c>
      <c r="Y487" s="61">
        <f>36685+(6*364)</f>
        <v>38869</v>
      </c>
      <c r="Z487" s="44">
        <f t="shared" ca="1" si="7"/>
        <v>18</v>
      </c>
    </row>
    <row r="488" spans="1:26" x14ac:dyDescent="0.25">
      <c r="A488" s="52" t="s">
        <v>588</v>
      </c>
      <c r="B488" s="52" t="s">
        <v>94</v>
      </c>
      <c r="C488" s="53">
        <v>34892</v>
      </c>
      <c r="D488" s="54">
        <v>32940</v>
      </c>
      <c r="K488" s="54"/>
      <c r="N488" s="62">
        <v>715009413</v>
      </c>
      <c r="O488" s="56">
        <v>7194373324</v>
      </c>
      <c r="P488" s="44"/>
      <c r="Q488" s="57">
        <v>27623</v>
      </c>
      <c r="R488" s="58" t="s">
        <v>87</v>
      </c>
      <c r="S488" s="45"/>
      <c r="T488" s="45"/>
      <c r="U488" s="59">
        <v>469007161</v>
      </c>
      <c r="V488" s="58" t="s">
        <v>248</v>
      </c>
      <c r="W488" s="60" t="s">
        <v>89</v>
      </c>
      <c r="X488" s="58" t="s">
        <v>147</v>
      </c>
      <c r="Y488" s="61">
        <f>38099+(6*364)</f>
        <v>40283</v>
      </c>
      <c r="Z488" s="44">
        <f t="shared" ca="1" si="7"/>
        <v>14</v>
      </c>
    </row>
    <row r="489" spans="1:26" x14ac:dyDescent="0.25">
      <c r="A489" s="52" t="s">
        <v>592</v>
      </c>
      <c r="B489" s="52" t="s">
        <v>94</v>
      </c>
      <c r="C489" s="53">
        <v>69475</v>
      </c>
      <c r="D489" s="54">
        <v>95999</v>
      </c>
      <c r="K489" s="54"/>
      <c r="N489" s="62">
        <v>719002519</v>
      </c>
      <c r="O489" s="56">
        <v>3036188082</v>
      </c>
      <c r="P489" s="44"/>
      <c r="Q489" s="57">
        <v>31222</v>
      </c>
      <c r="R489" s="58" t="s">
        <v>87</v>
      </c>
      <c r="S489" s="45"/>
      <c r="T489" s="45"/>
      <c r="U489" s="59">
        <v>611009356</v>
      </c>
      <c r="V489" s="58" t="s">
        <v>726</v>
      </c>
      <c r="W489" s="60" t="s">
        <v>84</v>
      </c>
      <c r="X489" s="58" t="s">
        <v>80</v>
      </c>
      <c r="Y489" s="61">
        <f>42460+(6*364)</f>
        <v>44644</v>
      </c>
      <c r="Z489" s="44">
        <f t="shared" ca="1" si="7"/>
        <v>2</v>
      </c>
    </row>
    <row r="490" spans="1:26" x14ac:dyDescent="0.25">
      <c r="A490" s="52" t="s">
        <v>600</v>
      </c>
      <c r="B490" s="52" t="s">
        <v>94</v>
      </c>
      <c r="C490" s="53">
        <v>30023</v>
      </c>
      <c r="D490" s="54">
        <v>82184</v>
      </c>
      <c r="K490" s="54"/>
      <c r="N490" s="62">
        <v>719002831</v>
      </c>
      <c r="O490" s="56">
        <v>7197852326</v>
      </c>
      <c r="P490" s="44" t="s">
        <v>99</v>
      </c>
      <c r="Q490" s="57">
        <v>108089</v>
      </c>
      <c r="R490" s="58" t="s">
        <v>71</v>
      </c>
      <c r="S490" s="45"/>
      <c r="T490" s="45"/>
      <c r="U490" s="59">
        <v>219000654</v>
      </c>
      <c r="V490" s="58" t="s">
        <v>747</v>
      </c>
      <c r="W490" s="60" t="s">
        <v>79</v>
      </c>
      <c r="X490" s="58" t="s">
        <v>80</v>
      </c>
      <c r="Y490" s="61">
        <f>37442+(6*364)</f>
        <v>39626</v>
      </c>
      <c r="Z490" s="44">
        <f t="shared" ca="1" si="7"/>
        <v>16</v>
      </c>
    </row>
    <row r="491" spans="1:26" x14ac:dyDescent="0.25">
      <c r="A491" s="52" t="s">
        <v>604</v>
      </c>
      <c r="B491" s="52" t="s">
        <v>94</v>
      </c>
      <c r="C491" s="53">
        <v>27144</v>
      </c>
      <c r="D491" s="54">
        <v>38082</v>
      </c>
      <c r="K491" s="54"/>
      <c r="N491" s="62">
        <v>720004885</v>
      </c>
      <c r="O491" s="56">
        <v>7198973095</v>
      </c>
      <c r="P491" s="44" t="s">
        <v>70</v>
      </c>
      <c r="Q491" s="57">
        <v>124927</v>
      </c>
      <c r="R491" s="58" t="s">
        <v>71</v>
      </c>
      <c r="S491" s="45"/>
      <c r="T491" s="45"/>
      <c r="U491" s="59">
        <v>910006892</v>
      </c>
      <c r="V491" s="58" t="s">
        <v>757</v>
      </c>
      <c r="W491" s="60" t="s">
        <v>73</v>
      </c>
      <c r="X491" s="58" t="s">
        <v>94</v>
      </c>
      <c r="Y491" s="61">
        <f>41286+(6*364)</f>
        <v>43470</v>
      </c>
      <c r="Z491" s="44">
        <f t="shared" ca="1" si="7"/>
        <v>6</v>
      </c>
    </row>
    <row r="492" spans="1:26" x14ac:dyDescent="0.25">
      <c r="A492" s="52" t="s">
        <v>619</v>
      </c>
      <c r="B492" s="52" t="s">
        <v>94</v>
      </c>
      <c r="C492" s="53">
        <v>92691</v>
      </c>
      <c r="D492" s="54">
        <v>73196</v>
      </c>
      <c r="K492" s="54"/>
      <c r="N492" s="62">
        <v>720008856</v>
      </c>
      <c r="O492" s="56">
        <v>3034603155</v>
      </c>
      <c r="P492" s="44" t="s">
        <v>99</v>
      </c>
      <c r="Q492" s="57">
        <v>114089</v>
      </c>
      <c r="R492" s="58" t="s">
        <v>71</v>
      </c>
      <c r="S492" s="45"/>
      <c r="T492" s="45"/>
      <c r="U492" s="59">
        <v>342000721</v>
      </c>
      <c r="V492" s="58" t="s">
        <v>758</v>
      </c>
      <c r="W492" s="60" t="s">
        <v>89</v>
      </c>
      <c r="X492" s="58" t="s">
        <v>90</v>
      </c>
      <c r="Y492" s="61">
        <f>37444+(6*364)</f>
        <v>39628</v>
      </c>
      <c r="Z492" s="44">
        <f t="shared" ca="1" si="7"/>
        <v>16</v>
      </c>
    </row>
    <row r="493" spans="1:26" x14ac:dyDescent="0.25">
      <c r="A493" s="52" t="s">
        <v>634</v>
      </c>
      <c r="B493" s="52" t="s">
        <v>94</v>
      </c>
      <c r="C493" s="53">
        <v>39238</v>
      </c>
      <c r="D493" s="54">
        <v>75770</v>
      </c>
      <c r="K493" s="54"/>
      <c r="N493" s="62">
        <v>721009904</v>
      </c>
      <c r="O493" s="56">
        <v>9703122083</v>
      </c>
      <c r="P493" s="44" t="s">
        <v>70</v>
      </c>
      <c r="Q493" s="57">
        <v>75925</v>
      </c>
      <c r="R493" s="58" t="s">
        <v>71</v>
      </c>
      <c r="S493" s="45"/>
      <c r="T493" s="45"/>
      <c r="U493" s="59">
        <v>548000196</v>
      </c>
      <c r="V493" s="58" t="s">
        <v>335</v>
      </c>
      <c r="W493" s="60" t="s">
        <v>73</v>
      </c>
      <c r="X493" s="58" t="s">
        <v>80</v>
      </c>
      <c r="Y493" s="61">
        <f>38880+(6*364)</f>
        <v>41064</v>
      </c>
      <c r="Z493" s="44">
        <f t="shared" ca="1" si="7"/>
        <v>12</v>
      </c>
    </row>
    <row r="494" spans="1:26" x14ac:dyDescent="0.25">
      <c r="A494" s="52" t="s">
        <v>637</v>
      </c>
      <c r="B494" s="52" t="s">
        <v>94</v>
      </c>
      <c r="C494" s="53">
        <v>80905</v>
      </c>
      <c r="D494" s="54">
        <v>86045</v>
      </c>
      <c r="K494" s="54"/>
      <c r="N494" s="62">
        <v>722008764</v>
      </c>
      <c r="O494" s="56">
        <v>3032433774</v>
      </c>
      <c r="P494" s="44" t="s">
        <v>99</v>
      </c>
      <c r="Q494" s="57">
        <v>42290</v>
      </c>
      <c r="R494" s="58" t="s">
        <v>71</v>
      </c>
      <c r="S494" s="45"/>
      <c r="T494" s="45"/>
      <c r="U494" s="59">
        <v>435009601</v>
      </c>
      <c r="V494" s="58" t="s">
        <v>306</v>
      </c>
      <c r="W494" s="60" t="s">
        <v>84</v>
      </c>
      <c r="X494" s="58" t="s">
        <v>80</v>
      </c>
      <c r="Y494" s="61">
        <f>35845+(6*364)</f>
        <v>38029</v>
      </c>
      <c r="Z494" s="44">
        <f t="shared" ca="1" si="7"/>
        <v>21</v>
      </c>
    </row>
    <row r="495" spans="1:26" x14ac:dyDescent="0.25">
      <c r="A495" s="52" t="s">
        <v>642</v>
      </c>
      <c r="B495" s="52" t="s">
        <v>94</v>
      </c>
      <c r="C495" s="53">
        <v>43219</v>
      </c>
      <c r="D495" s="54">
        <v>72104</v>
      </c>
      <c r="K495" s="54"/>
      <c r="N495" s="62">
        <v>724005925</v>
      </c>
      <c r="O495" s="56">
        <v>9708857217</v>
      </c>
      <c r="P495" s="44"/>
      <c r="Q495" s="57">
        <v>60409</v>
      </c>
      <c r="R495" s="58" t="s">
        <v>87</v>
      </c>
      <c r="S495" s="45"/>
      <c r="T495" s="45"/>
      <c r="U495" s="59">
        <v>124004728</v>
      </c>
      <c r="V495" s="58" t="s">
        <v>759</v>
      </c>
      <c r="W495" s="60" t="s">
        <v>101</v>
      </c>
      <c r="X495" s="58" t="s">
        <v>173</v>
      </c>
      <c r="Y495" s="61">
        <f>39951+(6*364)</f>
        <v>42135</v>
      </c>
      <c r="Z495" s="44">
        <f t="shared" ca="1" si="7"/>
        <v>9</v>
      </c>
    </row>
    <row r="496" spans="1:26" x14ac:dyDescent="0.25">
      <c r="A496" s="52" t="s">
        <v>662</v>
      </c>
      <c r="B496" s="52" t="s">
        <v>94</v>
      </c>
      <c r="C496" s="53">
        <v>91568</v>
      </c>
      <c r="D496" s="54">
        <v>74083</v>
      </c>
      <c r="K496" s="54"/>
      <c r="N496" s="62">
        <v>725003649</v>
      </c>
      <c r="O496" s="56">
        <v>9701308831</v>
      </c>
      <c r="P496" s="44" t="s">
        <v>82</v>
      </c>
      <c r="Q496" s="57">
        <v>47007</v>
      </c>
      <c r="R496" s="58" t="s">
        <v>77</v>
      </c>
      <c r="S496" s="45"/>
      <c r="T496" s="45"/>
      <c r="U496" s="59">
        <v>370005602</v>
      </c>
      <c r="V496" s="58" t="s">
        <v>761</v>
      </c>
      <c r="W496" s="60" t="s">
        <v>73</v>
      </c>
      <c r="X496" s="58" t="s">
        <v>85</v>
      </c>
      <c r="Y496" s="61">
        <f>35619+(6*364)</f>
        <v>37803</v>
      </c>
      <c r="Z496" s="44">
        <f t="shared" ca="1" si="7"/>
        <v>21</v>
      </c>
    </row>
    <row r="497" spans="1:26" x14ac:dyDescent="0.25">
      <c r="A497" s="52" t="s">
        <v>681</v>
      </c>
      <c r="B497" s="52" t="s">
        <v>94</v>
      </c>
      <c r="C497" s="53">
        <v>91078</v>
      </c>
      <c r="D497" s="54">
        <v>50717</v>
      </c>
      <c r="K497" s="54"/>
      <c r="N497" s="62">
        <v>725008918</v>
      </c>
      <c r="O497" s="56">
        <v>9702889972</v>
      </c>
      <c r="P497" s="44" t="s">
        <v>92</v>
      </c>
      <c r="Q497" s="57">
        <v>109875</v>
      </c>
      <c r="R497" s="58" t="s">
        <v>77</v>
      </c>
      <c r="S497" s="45"/>
      <c r="T497" s="45"/>
      <c r="U497" s="59">
        <v>910002208</v>
      </c>
      <c r="V497" s="58" t="s">
        <v>544</v>
      </c>
      <c r="W497" s="60" t="s">
        <v>84</v>
      </c>
      <c r="X497" s="58" t="s">
        <v>104</v>
      </c>
      <c r="Y497" s="61">
        <f>41602+(6*364)</f>
        <v>43786</v>
      </c>
      <c r="Z497" s="44">
        <f t="shared" ca="1" si="7"/>
        <v>5</v>
      </c>
    </row>
    <row r="498" spans="1:26" x14ac:dyDescent="0.25">
      <c r="A498" s="52" t="s">
        <v>684</v>
      </c>
      <c r="B498" s="52" t="s">
        <v>94</v>
      </c>
      <c r="C498" s="53">
        <v>83004</v>
      </c>
      <c r="D498" s="54">
        <v>91008</v>
      </c>
      <c r="K498" s="54"/>
      <c r="N498" s="62">
        <v>727003712</v>
      </c>
      <c r="O498" s="56">
        <v>5055770085</v>
      </c>
      <c r="P498" s="44" t="s">
        <v>92</v>
      </c>
      <c r="Q498" s="57">
        <v>59377</v>
      </c>
      <c r="R498" s="58" t="s">
        <v>77</v>
      </c>
      <c r="S498" s="45"/>
      <c r="T498" s="45"/>
      <c r="U498" s="59">
        <v>526003128</v>
      </c>
      <c r="V498" s="58" t="s">
        <v>387</v>
      </c>
      <c r="W498" s="60" t="s">
        <v>154</v>
      </c>
      <c r="X498" s="58" t="s">
        <v>132</v>
      </c>
      <c r="Y498" s="61">
        <f>41312+(6*364)</f>
        <v>43496</v>
      </c>
      <c r="Z498" s="44">
        <f t="shared" ca="1" si="7"/>
        <v>6</v>
      </c>
    </row>
    <row r="499" spans="1:26" x14ac:dyDescent="0.25">
      <c r="A499" s="52" t="s">
        <v>685</v>
      </c>
      <c r="B499" s="52" t="s">
        <v>94</v>
      </c>
      <c r="C499" s="53">
        <v>47891</v>
      </c>
      <c r="D499" s="54">
        <v>82460</v>
      </c>
      <c r="K499" s="54"/>
      <c r="N499" s="62">
        <v>727004619</v>
      </c>
      <c r="O499" s="56">
        <v>5058627048</v>
      </c>
      <c r="P499" s="44" t="s">
        <v>82</v>
      </c>
      <c r="Q499" s="57">
        <v>93137</v>
      </c>
      <c r="R499" s="58" t="s">
        <v>77</v>
      </c>
      <c r="S499" s="45"/>
      <c r="T499" s="45"/>
      <c r="U499" s="59">
        <v>991000309</v>
      </c>
      <c r="V499" s="58" t="s">
        <v>308</v>
      </c>
      <c r="W499" s="60" t="s">
        <v>101</v>
      </c>
      <c r="X499" s="58" t="s">
        <v>74</v>
      </c>
      <c r="Y499" s="61">
        <f>41978+(6*364)</f>
        <v>44162</v>
      </c>
      <c r="Z499" s="44">
        <f t="shared" ca="1" si="7"/>
        <v>4</v>
      </c>
    </row>
    <row r="500" spans="1:26" x14ac:dyDescent="0.25">
      <c r="A500" s="52" t="s">
        <v>686</v>
      </c>
      <c r="B500" s="52" t="s">
        <v>94</v>
      </c>
      <c r="C500" s="53">
        <v>76552</v>
      </c>
      <c r="D500" s="54">
        <v>110378</v>
      </c>
      <c r="K500" s="54"/>
      <c r="N500" s="62">
        <v>730001767</v>
      </c>
      <c r="O500" s="56">
        <v>3034138160</v>
      </c>
      <c r="P500" s="44" t="s">
        <v>70</v>
      </c>
      <c r="Q500" s="57">
        <v>35929</v>
      </c>
      <c r="R500" s="58" t="s">
        <v>71</v>
      </c>
      <c r="S500" s="45"/>
      <c r="T500" s="45"/>
      <c r="U500" s="59">
        <v>701006727</v>
      </c>
      <c r="V500" s="58" t="s">
        <v>763</v>
      </c>
      <c r="W500" s="60" t="s">
        <v>73</v>
      </c>
      <c r="X500" s="58" t="s">
        <v>80</v>
      </c>
      <c r="Y500" s="61">
        <f>35315+(6*364)</f>
        <v>37499</v>
      </c>
      <c r="Z500" s="44">
        <f t="shared" ca="1" si="7"/>
        <v>22</v>
      </c>
    </row>
    <row r="501" spans="1:26" x14ac:dyDescent="0.25">
      <c r="A501" s="52" t="s">
        <v>690</v>
      </c>
      <c r="B501" s="52" t="s">
        <v>94</v>
      </c>
      <c r="C501" s="53">
        <v>28166</v>
      </c>
      <c r="D501" s="54">
        <v>80352</v>
      </c>
      <c r="K501" s="54"/>
      <c r="N501" s="62">
        <v>730005878</v>
      </c>
      <c r="O501" s="56">
        <v>3034729409</v>
      </c>
      <c r="P501" s="44" t="s">
        <v>76</v>
      </c>
      <c r="Q501" s="57">
        <v>126688</v>
      </c>
      <c r="R501" s="58" t="s">
        <v>77</v>
      </c>
      <c r="S501" s="45"/>
      <c r="T501" s="45"/>
      <c r="U501" s="59">
        <v>601006235</v>
      </c>
      <c r="V501" s="58" t="s">
        <v>546</v>
      </c>
      <c r="W501" s="60" t="s">
        <v>101</v>
      </c>
      <c r="X501" s="58" t="s">
        <v>173</v>
      </c>
      <c r="Y501" s="61">
        <f>35945+(6*364)</f>
        <v>38129</v>
      </c>
      <c r="Z501" s="44">
        <f t="shared" ca="1" si="7"/>
        <v>20</v>
      </c>
    </row>
    <row r="502" spans="1:26" x14ac:dyDescent="0.25">
      <c r="A502" s="52" t="s">
        <v>691</v>
      </c>
      <c r="B502" s="52" t="s">
        <v>94</v>
      </c>
      <c r="C502" s="53">
        <v>65077</v>
      </c>
      <c r="D502" s="54">
        <v>102534</v>
      </c>
      <c r="K502" s="54"/>
      <c r="N502" s="62">
        <v>731002170</v>
      </c>
      <c r="O502" s="56">
        <v>7198502926</v>
      </c>
      <c r="P502" s="44"/>
      <c r="Q502" s="57">
        <v>93928</v>
      </c>
      <c r="R502" s="58" t="s">
        <v>87</v>
      </c>
      <c r="S502" s="45"/>
      <c r="T502" s="45"/>
      <c r="U502" s="59">
        <v>288005212</v>
      </c>
      <c r="V502" s="58" t="s">
        <v>388</v>
      </c>
      <c r="W502" s="60" t="s">
        <v>101</v>
      </c>
      <c r="X502" s="58" t="s">
        <v>85</v>
      </c>
      <c r="Y502" s="61">
        <f>38123+(6*364)</f>
        <v>40307</v>
      </c>
      <c r="Z502" s="44">
        <f t="shared" ca="1" si="7"/>
        <v>14</v>
      </c>
    </row>
    <row r="503" spans="1:26" x14ac:dyDescent="0.25">
      <c r="A503" s="52" t="s">
        <v>694</v>
      </c>
      <c r="B503" s="52" t="s">
        <v>94</v>
      </c>
      <c r="C503" s="53">
        <v>67557</v>
      </c>
      <c r="D503" s="54">
        <v>97425</v>
      </c>
      <c r="K503" s="54"/>
      <c r="N503" s="62">
        <v>737003577</v>
      </c>
      <c r="O503" s="56">
        <v>3036354278</v>
      </c>
      <c r="P503" s="44" t="s">
        <v>99</v>
      </c>
      <c r="Q503" s="57">
        <v>129452</v>
      </c>
      <c r="R503" s="58" t="s">
        <v>77</v>
      </c>
      <c r="S503" s="45"/>
      <c r="T503" s="45"/>
      <c r="U503" s="59">
        <v>127000100</v>
      </c>
      <c r="V503" s="58" t="s">
        <v>250</v>
      </c>
      <c r="W503" s="60" t="s">
        <v>79</v>
      </c>
      <c r="X503" s="58" t="s">
        <v>104</v>
      </c>
      <c r="Y503" s="61">
        <f>42327+(6*364)</f>
        <v>44511</v>
      </c>
      <c r="Z503" s="44">
        <f t="shared" ca="1" si="7"/>
        <v>3</v>
      </c>
    </row>
    <row r="504" spans="1:26" x14ac:dyDescent="0.25">
      <c r="A504" s="52" t="s">
        <v>704</v>
      </c>
      <c r="B504" s="52" t="s">
        <v>94</v>
      </c>
      <c r="C504" s="53">
        <v>39211</v>
      </c>
      <c r="D504" s="54">
        <v>76950</v>
      </c>
      <c r="K504" s="54"/>
      <c r="N504" s="62">
        <v>740000904</v>
      </c>
      <c r="O504" s="56">
        <v>7197111802</v>
      </c>
      <c r="P504" s="44" t="s">
        <v>76</v>
      </c>
      <c r="Q504" s="57">
        <v>40306</v>
      </c>
      <c r="R504" s="58" t="s">
        <v>71</v>
      </c>
      <c r="S504" s="45"/>
      <c r="T504" s="45"/>
      <c r="U504" s="59">
        <v>424003332</v>
      </c>
      <c r="V504" s="58" t="s">
        <v>622</v>
      </c>
      <c r="W504" s="60" t="s">
        <v>89</v>
      </c>
      <c r="X504" s="58" t="s">
        <v>356</v>
      </c>
      <c r="Y504" s="61">
        <f>36325+(6*364)</f>
        <v>38509</v>
      </c>
      <c r="Z504" s="44">
        <f t="shared" ca="1" si="7"/>
        <v>19</v>
      </c>
    </row>
    <row r="505" spans="1:26" x14ac:dyDescent="0.25">
      <c r="A505" s="52" t="s">
        <v>707</v>
      </c>
      <c r="B505" s="52" t="s">
        <v>94</v>
      </c>
      <c r="C505" s="53">
        <v>66143</v>
      </c>
      <c r="D505" s="54">
        <v>137068</v>
      </c>
      <c r="K505" s="54"/>
      <c r="N505" s="62">
        <v>740003284</v>
      </c>
      <c r="O505" s="56">
        <v>3037237007</v>
      </c>
      <c r="P505" s="44"/>
      <c r="Q505" s="57">
        <v>53448</v>
      </c>
      <c r="R505" s="58" t="s">
        <v>87</v>
      </c>
      <c r="S505" s="45"/>
      <c r="T505" s="45"/>
      <c r="U505" s="59">
        <v>809001818</v>
      </c>
      <c r="V505" s="58" t="s">
        <v>659</v>
      </c>
      <c r="W505" s="60" t="s">
        <v>89</v>
      </c>
      <c r="X505" s="58" t="s">
        <v>173</v>
      </c>
      <c r="Y505" s="61">
        <f>35776+(6*364)</f>
        <v>37960</v>
      </c>
      <c r="Z505" s="44">
        <f t="shared" ca="1" si="7"/>
        <v>21</v>
      </c>
    </row>
    <row r="506" spans="1:26" x14ac:dyDescent="0.25">
      <c r="A506" s="52" t="s">
        <v>708</v>
      </c>
      <c r="B506" s="52" t="s">
        <v>94</v>
      </c>
      <c r="C506" s="53">
        <v>58172</v>
      </c>
      <c r="D506" s="54">
        <v>65244</v>
      </c>
      <c r="K506" s="54"/>
      <c r="N506" s="62">
        <v>740009940</v>
      </c>
      <c r="O506" s="56">
        <v>7191246633</v>
      </c>
      <c r="P506" s="44" t="s">
        <v>82</v>
      </c>
      <c r="Q506" s="57">
        <v>40055</v>
      </c>
      <c r="R506" s="58" t="s">
        <v>71</v>
      </c>
      <c r="S506" s="45"/>
      <c r="T506" s="45"/>
      <c r="U506" s="59">
        <v>604006651</v>
      </c>
      <c r="V506" s="58" t="s">
        <v>764</v>
      </c>
      <c r="W506" s="60" t="s">
        <v>89</v>
      </c>
      <c r="X506" s="58" t="s">
        <v>173</v>
      </c>
      <c r="Y506" s="61">
        <f>36209+(6*364)</f>
        <v>38393</v>
      </c>
      <c r="Z506" s="44">
        <f t="shared" ca="1" si="7"/>
        <v>20</v>
      </c>
    </row>
    <row r="507" spans="1:26" x14ac:dyDescent="0.25">
      <c r="A507" s="52" t="s">
        <v>716</v>
      </c>
      <c r="B507" s="52" t="s">
        <v>94</v>
      </c>
      <c r="C507" s="53">
        <v>37238</v>
      </c>
      <c r="D507" s="54">
        <v>29040</v>
      </c>
      <c r="K507" s="54"/>
      <c r="N507" s="62">
        <v>743008004</v>
      </c>
      <c r="O507" s="56">
        <v>3038426889</v>
      </c>
      <c r="P507" s="44"/>
      <c r="Q507" s="57">
        <v>46174</v>
      </c>
      <c r="R507" s="58" t="s">
        <v>87</v>
      </c>
      <c r="S507" s="45"/>
      <c r="T507" s="45"/>
      <c r="U507" s="59">
        <v>775006995</v>
      </c>
      <c r="V507" s="58" t="s">
        <v>765</v>
      </c>
      <c r="W507" s="60" t="s">
        <v>73</v>
      </c>
      <c r="X507" s="58" t="s">
        <v>107</v>
      </c>
      <c r="Y507" s="61">
        <f>38932+(6*364)</f>
        <v>41116</v>
      </c>
      <c r="Z507" s="44">
        <f t="shared" ca="1" si="7"/>
        <v>12</v>
      </c>
    </row>
    <row r="508" spans="1:26" x14ac:dyDescent="0.25">
      <c r="A508" s="52" t="s">
        <v>729</v>
      </c>
      <c r="B508" s="52" t="s">
        <v>94</v>
      </c>
      <c r="C508" s="53">
        <v>54859</v>
      </c>
      <c r="D508" s="54">
        <v>94035</v>
      </c>
      <c r="K508" s="54"/>
      <c r="N508" s="62">
        <v>745006469</v>
      </c>
      <c r="O508" s="56">
        <v>7198488350</v>
      </c>
      <c r="P508" s="44" t="s">
        <v>70</v>
      </c>
      <c r="Q508" s="57">
        <v>59168</v>
      </c>
      <c r="R508" s="58" t="s">
        <v>71</v>
      </c>
      <c r="S508" s="45"/>
      <c r="T508" s="45"/>
      <c r="U508" s="59">
        <v>559005262</v>
      </c>
      <c r="V508" s="58" t="s">
        <v>21</v>
      </c>
      <c r="W508" s="60" t="s">
        <v>79</v>
      </c>
      <c r="X508" s="58" t="s">
        <v>104</v>
      </c>
      <c r="Y508" s="61">
        <f>39394+(6*364)</f>
        <v>41578</v>
      </c>
      <c r="Z508" s="44">
        <f t="shared" ca="1" si="7"/>
        <v>11</v>
      </c>
    </row>
    <row r="509" spans="1:26" x14ac:dyDescent="0.25">
      <c r="A509" s="52" t="s">
        <v>781</v>
      </c>
      <c r="B509" s="52" t="s">
        <v>94</v>
      </c>
      <c r="C509" s="53">
        <v>92407</v>
      </c>
      <c r="D509" s="54">
        <v>96233</v>
      </c>
      <c r="K509" s="54"/>
      <c r="N509" s="62">
        <v>748000763</v>
      </c>
      <c r="O509" s="56">
        <v>3038824849</v>
      </c>
      <c r="P509" s="44"/>
      <c r="Q509" s="57">
        <v>37275</v>
      </c>
      <c r="R509" s="58" t="s">
        <v>87</v>
      </c>
      <c r="S509" s="45"/>
      <c r="T509" s="45"/>
      <c r="U509" s="59">
        <v>945008417</v>
      </c>
      <c r="V509" s="58" t="s">
        <v>548</v>
      </c>
      <c r="W509" s="60" t="s">
        <v>154</v>
      </c>
      <c r="X509" s="58" t="s">
        <v>80</v>
      </c>
      <c r="Y509" s="61">
        <f>37204+(6*364)</f>
        <v>39388</v>
      </c>
      <c r="Z509" s="44">
        <f t="shared" ca="1" si="7"/>
        <v>17</v>
      </c>
    </row>
    <row r="510" spans="1:26" x14ac:dyDescent="0.25">
      <c r="A510" s="52" t="s">
        <v>754</v>
      </c>
      <c r="B510" s="52" t="s">
        <v>94</v>
      </c>
      <c r="C510" s="53">
        <v>69920</v>
      </c>
      <c r="D510" s="54">
        <v>72249</v>
      </c>
      <c r="K510" s="54"/>
      <c r="N510" s="62">
        <v>749002975</v>
      </c>
      <c r="O510" s="56">
        <v>5053766803</v>
      </c>
      <c r="P510" s="44"/>
      <c r="Q510" s="57">
        <v>82760</v>
      </c>
      <c r="R510" s="58" t="s">
        <v>87</v>
      </c>
      <c r="S510" s="45"/>
      <c r="T510" s="45"/>
      <c r="U510" s="59">
        <v>416008872</v>
      </c>
      <c r="V510" s="58" t="s">
        <v>727</v>
      </c>
      <c r="W510" s="60" t="s">
        <v>89</v>
      </c>
      <c r="X510" s="58" t="s">
        <v>190</v>
      </c>
      <c r="Y510" s="61">
        <f>42237+(6*364)</f>
        <v>44421</v>
      </c>
      <c r="Z510" s="44">
        <f t="shared" ca="1" si="7"/>
        <v>3</v>
      </c>
    </row>
    <row r="511" spans="1:26" x14ac:dyDescent="0.25">
      <c r="A511" s="52" t="s">
        <v>756</v>
      </c>
      <c r="B511" s="52" t="s">
        <v>94</v>
      </c>
      <c r="C511" s="53">
        <v>90928</v>
      </c>
      <c r="D511" s="54">
        <v>53084</v>
      </c>
      <c r="K511" s="54"/>
      <c r="N511" s="62">
        <v>751003836</v>
      </c>
      <c r="O511" s="56">
        <v>7196458440</v>
      </c>
      <c r="P511" s="44" t="s">
        <v>99</v>
      </c>
      <c r="Q511" s="57">
        <v>51886</v>
      </c>
      <c r="R511" s="58" t="s">
        <v>71</v>
      </c>
      <c r="S511" s="45"/>
      <c r="T511" s="45"/>
      <c r="U511" s="59">
        <v>675000613</v>
      </c>
      <c r="V511" s="58" t="s">
        <v>767</v>
      </c>
      <c r="W511" s="60" t="s">
        <v>84</v>
      </c>
      <c r="X511" s="58" t="s">
        <v>159</v>
      </c>
      <c r="Y511" s="61">
        <f>39536+(6*364)</f>
        <v>41720</v>
      </c>
      <c r="Z511" s="44">
        <f t="shared" ca="1" si="7"/>
        <v>10</v>
      </c>
    </row>
    <row r="512" spans="1:26" x14ac:dyDescent="0.25">
      <c r="A512" s="52" t="s">
        <v>757</v>
      </c>
      <c r="B512" s="52" t="s">
        <v>94</v>
      </c>
      <c r="C512" s="53">
        <v>60812</v>
      </c>
      <c r="D512" s="54">
        <v>118542</v>
      </c>
      <c r="K512" s="54"/>
      <c r="N512" s="62">
        <v>751006815</v>
      </c>
      <c r="O512" s="56">
        <v>5057803578</v>
      </c>
      <c r="P512" s="44"/>
      <c r="Q512" s="57">
        <v>84454</v>
      </c>
      <c r="R512" s="58" t="s">
        <v>87</v>
      </c>
      <c r="S512" s="45"/>
      <c r="T512" s="45"/>
      <c r="U512" s="59">
        <v>700003966</v>
      </c>
      <c r="V512" s="58" t="s">
        <v>748</v>
      </c>
      <c r="W512" s="60" t="s">
        <v>73</v>
      </c>
      <c r="X512" s="58" t="s">
        <v>205</v>
      </c>
      <c r="Y512" s="61">
        <f>35110+(6*364)</f>
        <v>37294</v>
      </c>
      <c r="Z512" s="44">
        <f t="shared" ca="1" si="7"/>
        <v>23</v>
      </c>
    </row>
    <row r="513" spans="1:26" x14ac:dyDescent="0.25">
      <c r="A513" s="52" t="s">
        <v>763</v>
      </c>
      <c r="B513" s="52" t="s">
        <v>94</v>
      </c>
      <c r="C513" s="53">
        <v>32067</v>
      </c>
      <c r="D513" s="54">
        <v>73473</v>
      </c>
      <c r="K513" s="54"/>
      <c r="N513" s="62">
        <v>753002270</v>
      </c>
      <c r="O513" s="56">
        <v>5055786813</v>
      </c>
      <c r="P513" s="44"/>
      <c r="Q513" s="57">
        <v>57039</v>
      </c>
      <c r="R513" s="58" t="s">
        <v>109</v>
      </c>
      <c r="S513" s="45"/>
      <c r="T513" s="45"/>
      <c r="U513" s="59">
        <v>475007086</v>
      </c>
      <c r="V513" s="58" t="s">
        <v>769</v>
      </c>
      <c r="W513" s="60" t="s">
        <v>84</v>
      </c>
      <c r="X513" s="58" t="s">
        <v>96</v>
      </c>
      <c r="Y513" s="61">
        <f>40993+(6*364)</f>
        <v>43177</v>
      </c>
      <c r="Z513" s="44">
        <f t="shared" ca="1" si="7"/>
        <v>6</v>
      </c>
    </row>
    <row r="514" spans="1:26" x14ac:dyDescent="0.25">
      <c r="A514" s="52" t="s">
        <v>765</v>
      </c>
      <c r="B514" s="52" t="s">
        <v>94</v>
      </c>
      <c r="C514" s="53">
        <v>44695</v>
      </c>
      <c r="D514" s="54">
        <v>95869</v>
      </c>
      <c r="K514" s="54"/>
      <c r="N514" s="62">
        <v>753004161</v>
      </c>
      <c r="O514" s="56">
        <v>7194697218</v>
      </c>
      <c r="P514" s="44" t="s">
        <v>76</v>
      </c>
      <c r="Q514" s="57">
        <v>65021</v>
      </c>
      <c r="R514" s="58" t="s">
        <v>71</v>
      </c>
      <c r="S514" s="45"/>
      <c r="T514" s="45"/>
      <c r="U514" s="59">
        <v>862003795</v>
      </c>
      <c r="V514" s="58" t="s">
        <v>770</v>
      </c>
      <c r="W514" s="60" t="s">
        <v>89</v>
      </c>
      <c r="X514" s="58" t="s">
        <v>94</v>
      </c>
      <c r="Y514" s="61">
        <f>36146+(6*364)</f>
        <v>38330</v>
      </c>
      <c r="Z514" s="44">
        <f t="shared" ref="Z514:Z577" ca="1" si="8">DATEDIF(Y514,TODAY(),"Y")</f>
        <v>20</v>
      </c>
    </row>
    <row r="515" spans="1:26" x14ac:dyDescent="0.25">
      <c r="A515" s="52" t="s">
        <v>769</v>
      </c>
      <c r="B515" s="52" t="s">
        <v>94</v>
      </c>
      <c r="C515" s="53">
        <v>48869</v>
      </c>
      <c r="D515" s="54">
        <v>24859</v>
      </c>
      <c r="K515" s="54"/>
      <c r="N515" s="62">
        <v>756009641</v>
      </c>
      <c r="O515" s="56">
        <v>5051683770</v>
      </c>
      <c r="P515" s="44" t="s">
        <v>99</v>
      </c>
      <c r="Q515" s="57">
        <v>76700</v>
      </c>
      <c r="R515" s="58" t="s">
        <v>77</v>
      </c>
      <c r="S515" s="45"/>
      <c r="T515" s="45"/>
      <c r="U515" s="59">
        <v>745006469</v>
      </c>
      <c r="V515" s="58" t="s">
        <v>309</v>
      </c>
      <c r="W515" s="60" t="s">
        <v>84</v>
      </c>
      <c r="X515" s="58" t="s">
        <v>94</v>
      </c>
      <c r="Y515" s="61">
        <f>40347+(6*364)</f>
        <v>42531</v>
      </c>
      <c r="Z515" s="44">
        <f t="shared" ca="1" si="8"/>
        <v>8</v>
      </c>
    </row>
    <row r="516" spans="1:26" x14ac:dyDescent="0.25">
      <c r="A516" s="52" t="s">
        <v>772</v>
      </c>
      <c r="B516" s="52" t="s">
        <v>94</v>
      </c>
      <c r="C516" s="53">
        <v>91643</v>
      </c>
      <c r="D516" s="54">
        <v>97844</v>
      </c>
      <c r="K516" s="54"/>
      <c r="N516" s="62">
        <v>757001875</v>
      </c>
      <c r="O516" s="56">
        <v>9702712826</v>
      </c>
      <c r="P516" s="44" t="s">
        <v>99</v>
      </c>
      <c r="Q516" s="57">
        <v>108195</v>
      </c>
      <c r="R516" s="58" t="s">
        <v>71</v>
      </c>
      <c r="S516" s="45"/>
      <c r="T516" s="45"/>
      <c r="U516" s="59">
        <v>151009646</v>
      </c>
      <c r="V516" s="58" t="s">
        <v>771</v>
      </c>
      <c r="W516" s="60" t="s">
        <v>79</v>
      </c>
      <c r="X516" s="58" t="s">
        <v>107</v>
      </c>
      <c r="Y516" s="61">
        <f>38011+(6*364)</f>
        <v>40195</v>
      </c>
      <c r="Z516" s="44">
        <f t="shared" ca="1" si="8"/>
        <v>15</v>
      </c>
    </row>
    <row r="517" spans="1:26" x14ac:dyDescent="0.25">
      <c r="A517" s="52" t="s">
        <v>778</v>
      </c>
      <c r="B517" s="52" t="s">
        <v>94</v>
      </c>
      <c r="C517" s="53">
        <v>13021</v>
      </c>
      <c r="D517" s="54">
        <v>102491</v>
      </c>
      <c r="K517" s="54"/>
      <c r="N517" s="62">
        <v>758008512</v>
      </c>
      <c r="O517" s="56">
        <v>3036778600</v>
      </c>
      <c r="P517" s="44" t="s">
        <v>99</v>
      </c>
      <c r="Q517" s="57">
        <v>123083</v>
      </c>
      <c r="R517" s="58" t="s">
        <v>71</v>
      </c>
      <c r="S517" s="45"/>
      <c r="T517" s="45"/>
      <c r="U517" s="59">
        <v>195007648</v>
      </c>
      <c r="V517" s="58" t="s">
        <v>772</v>
      </c>
      <c r="W517" s="60" t="s">
        <v>154</v>
      </c>
      <c r="X517" s="58" t="s">
        <v>94</v>
      </c>
      <c r="Y517" s="61">
        <f>36617+(6*364)</f>
        <v>38801</v>
      </c>
      <c r="Z517" s="44">
        <f t="shared" ca="1" si="8"/>
        <v>18</v>
      </c>
    </row>
    <row r="518" spans="1:26" x14ac:dyDescent="0.25">
      <c r="A518" s="52" t="s">
        <v>779</v>
      </c>
      <c r="B518" s="52" t="s">
        <v>94</v>
      </c>
      <c r="C518" s="53">
        <v>69421</v>
      </c>
      <c r="D518" s="54">
        <v>114060</v>
      </c>
      <c r="K518" s="54"/>
      <c r="N518" s="62">
        <v>760008556</v>
      </c>
      <c r="O518" s="56">
        <v>5052693355</v>
      </c>
      <c r="P518" s="44" t="s">
        <v>92</v>
      </c>
      <c r="Q518" s="57">
        <v>92913</v>
      </c>
      <c r="R518" s="58" t="s">
        <v>71</v>
      </c>
      <c r="S518" s="45"/>
      <c r="T518" s="45"/>
      <c r="U518" s="59">
        <v>324000981</v>
      </c>
      <c r="V518" s="58" t="s">
        <v>119</v>
      </c>
      <c r="W518" s="60" t="s">
        <v>79</v>
      </c>
      <c r="X518" s="58" t="s">
        <v>107</v>
      </c>
      <c r="Y518" s="61">
        <f>35905+(6*364)</f>
        <v>38089</v>
      </c>
      <c r="Z518" s="44">
        <f t="shared" ca="1" si="8"/>
        <v>20</v>
      </c>
    </row>
    <row r="519" spans="1:26" x14ac:dyDescent="0.25">
      <c r="A519" s="52" t="s">
        <v>782</v>
      </c>
      <c r="B519" s="52" t="s">
        <v>94</v>
      </c>
      <c r="C519" s="53">
        <v>62219</v>
      </c>
      <c r="D519" s="54">
        <v>67766</v>
      </c>
      <c r="K519" s="54"/>
      <c r="N519" s="62">
        <v>761000800</v>
      </c>
      <c r="O519" s="56">
        <v>7195236892</v>
      </c>
      <c r="P519" s="44"/>
      <c r="Q519" s="57">
        <v>76742</v>
      </c>
      <c r="R519" s="58" t="s">
        <v>87</v>
      </c>
      <c r="S519" s="45"/>
      <c r="T519" s="45"/>
      <c r="U519" s="59">
        <v>719002519</v>
      </c>
      <c r="V519" s="58" t="s">
        <v>773</v>
      </c>
      <c r="W519" s="60" t="s">
        <v>79</v>
      </c>
      <c r="X519" s="58" t="s">
        <v>74</v>
      </c>
      <c r="Y519" s="61">
        <f>36085+(6*364)</f>
        <v>38269</v>
      </c>
      <c r="Z519" s="44">
        <f t="shared" ca="1" si="8"/>
        <v>20</v>
      </c>
    </row>
    <row r="520" spans="1:26" x14ac:dyDescent="0.25">
      <c r="A520" s="52" t="s">
        <v>783</v>
      </c>
      <c r="B520" s="52" t="s">
        <v>94</v>
      </c>
      <c r="C520" s="53">
        <v>35452</v>
      </c>
      <c r="D520" s="54">
        <v>71594</v>
      </c>
      <c r="K520" s="54"/>
      <c r="N520" s="62">
        <v>761008700</v>
      </c>
      <c r="O520" s="56">
        <v>3031641031</v>
      </c>
      <c r="P520" s="44" t="s">
        <v>92</v>
      </c>
      <c r="Q520" s="57">
        <v>114976</v>
      </c>
      <c r="R520" s="58" t="s">
        <v>71</v>
      </c>
      <c r="S520" s="45"/>
      <c r="T520" s="45"/>
      <c r="U520" s="59">
        <v>636002627</v>
      </c>
      <c r="V520" s="58" t="s">
        <v>774</v>
      </c>
      <c r="W520" s="60" t="s">
        <v>79</v>
      </c>
      <c r="X520" s="58" t="s">
        <v>104</v>
      </c>
      <c r="Y520" s="61">
        <f>35544+(6*364)</f>
        <v>37728</v>
      </c>
      <c r="Z520" s="44">
        <f t="shared" ca="1" si="8"/>
        <v>21</v>
      </c>
    </row>
    <row r="521" spans="1:26" x14ac:dyDescent="0.25">
      <c r="A521" s="52" t="s">
        <v>784</v>
      </c>
      <c r="B521" s="52" t="s">
        <v>94</v>
      </c>
      <c r="C521" s="53">
        <v>32894</v>
      </c>
      <c r="D521" s="54">
        <v>72926</v>
      </c>
      <c r="K521" s="54"/>
      <c r="N521" s="62">
        <v>762007837</v>
      </c>
      <c r="O521" s="56">
        <v>9702601200</v>
      </c>
      <c r="P521" s="44" t="s">
        <v>92</v>
      </c>
      <c r="Q521" s="57">
        <v>78384</v>
      </c>
      <c r="R521" s="58" t="s">
        <v>71</v>
      </c>
      <c r="S521" s="45"/>
      <c r="T521" s="45"/>
      <c r="U521" s="59">
        <v>148008441</v>
      </c>
      <c r="V521" s="58" t="s">
        <v>775</v>
      </c>
      <c r="W521" s="60" t="s">
        <v>79</v>
      </c>
      <c r="X521" s="58" t="s">
        <v>90</v>
      </c>
      <c r="Y521" s="61">
        <f>38368+(6*364)</f>
        <v>40552</v>
      </c>
      <c r="Z521" s="44">
        <f t="shared" ca="1" si="8"/>
        <v>14</v>
      </c>
    </row>
    <row r="522" spans="1:26" x14ac:dyDescent="0.25">
      <c r="A522" s="52" t="s">
        <v>785</v>
      </c>
      <c r="B522" s="52" t="s">
        <v>94</v>
      </c>
      <c r="C522" s="53">
        <v>89348</v>
      </c>
      <c r="D522" s="54">
        <v>100219</v>
      </c>
      <c r="K522" s="54"/>
      <c r="N522" s="62">
        <v>763003865</v>
      </c>
      <c r="O522" s="56">
        <v>4152804104</v>
      </c>
      <c r="P522" s="44" t="s">
        <v>76</v>
      </c>
      <c r="Q522" s="57">
        <v>73742</v>
      </c>
      <c r="R522" s="58" t="s">
        <v>71</v>
      </c>
      <c r="S522" s="45"/>
      <c r="T522" s="45"/>
      <c r="U522" s="59">
        <v>495001952</v>
      </c>
      <c r="V522" s="58" t="s">
        <v>776</v>
      </c>
      <c r="W522" s="60" t="s">
        <v>101</v>
      </c>
      <c r="X522" s="58" t="s">
        <v>74</v>
      </c>
      <c r="Y522" s="61">
        <f>37913+(6*364)</f>
        <v>40097</v>
      </c>
      <c r="Z522" s="44">
        <f t="shared" ca="1" si="8"/>
        <v>15</v>
      </c>
    </row>
    <row r="523" spans="1:26" x14ac:dyDescent="0.25">
      <c r="A523" s="52" t="s">
        <v>786</v>
      </c>
      <c r="B523" s="52" t="s">
        <v>94</v>
      </c>
      <c r="C523" s="53">
        <v>71017</v>
      </c>
      <c r="D523" s="54">
        <v>55770</v>
      </c>
      <c r="K523" s="54"/>
      <c r="N523" s="62">
        <v>763008893</v>
      </c>
      <c r="O523" s="56">
        <v>9707051004</v>
      </c>
      <c r="P523" s="44"/>
      <c r="Q523" s="57">
        <v>37396</v>
      </c>
      <c r="R523" s="58" t="s">
        <v>87</v>
      </c>
      <c r="S523" s="45"/>
      <c r="T523" s="45"/>
      <c r="U523" s="59">
        <v>108001462</v>
      </c>
      <c r="V523" s="58" t="s">
        <v>624</v>
      </c>
      <c r="W523" s="60" t="s">
        <v>73</v>
      </c>
      <c r="X523" s="58" t="s">
        <v>85</v>
      </c>
      <c r="Y523" s="61">
        <f>38040+(6*364)</f>
        <v>40224</v>
      </c>
      <c r="Z523" s="44">
        <f t="shared" ca="1" si="8"/>
        <v>15</v>
      </c>
    </row>
    <row r="524" spans="1:26" x14ac:dyDescent="0.25">
      <c r="A524" s="52" t="s">
        <v>787</v>
      </c>
      <c r="B524" s="52" t="s">
        <v>94</v>
      </c>
      <c r="C524" s="53">
        <v>80526</v>
      </c>
      <c r="D524" s="54">
        <v>85478</v>
      </c>
      <c r="K524" s="54"/>
      <c r="N524" s="62">
        <v>764005137</v>
      </c>
      <c r="O524" s="56">
        <v>5055478716</v>
      </c>
      <c r="P524" s="44" t="s">
        <v>82</v>
      </c>
      <c r="Q524" s="57">
        <v>83731</v>
      </c>
      <c r="R524" s="58" t="s">
        <v>77</v>
      </c>
      <c r="S524" s="45"/>
      <c r="T524" s="45"/>
      <c r="U524" s="59">
        <v>579001953</v>
      </c>
      <c r="V524" s="58" t="s">
        <v>777</v>
      </c>
      <c r="W524" s="60" t="s">
        <v>73</v>
      </c>
      <c r="X524" s="58" t="s">
        <v>74</v>
      </c>
      <c r="Y524" s="61">
        <f>37110+(6*364)</f>
        <v>39294</v>
      </c>
      <c r="Z524" s="44">
        <f t="shared" ca="1" si="8"/>
        <v>17</v>
      </c>
    </row>
    <row r="525" spans="1:26" x14ac:dyDescent="0.25">
      <c r="A525" s="52" t="s">
        <v>788</v>
      </c>
      <c r="B525" s="52" t="s">
        <v>94</v>
      </c>
      <c r="C525" s="53">
        <v>50834</v>
      </c>
      <c r="D525" s="54">
        <v>56763</v>
      </c>
      <c r="K525" s="54"/>
      <c r="N525" s="62">
        <v>766004790</v>
      </c>
      <c r="O525" s="56">
        <v>7195048978</v>
      </c>
      <c r="P525" s="44" t="s">
        <v>99</v>
      </c>
      <c r="Q525" s="57">
        <v>88178</v>
      </c>
      <c r="R525" s="58" t="s">
        <v>71</v>
      </c>
      <c r="S525" s="45"/>
      <c r="T525" s="45"/>
      <c r="U525" s="59">
        <v>214004611</v>
      </c>
      <c r="V525" s="58" t="s">
        <v>549</v>
      </c>
      <c r="W525" s="60" t="s">
        <v>79</v>
      </c>
      <c r="X525" s="58" t="s">
        <v>107</v>
      </c>
      <c r="Y525" s="61">
        <f>38394+(6*364)</f>
        <v>40578</v>
      </c>
      <c r="Z525" s="44">
        <f t="shared" ca="1" si="8"/>
        <v>14</v>
      </c>
    </row>
    <row r="526" spans="1:26" x14ac:dyDescent="0.25">
      <c r="A526" s="52" t="s">
        <v>789</v>
      </c>
      <c r="B526" s="52" t="s">
        <v>94</v>
      </c>
      <c r="C526" s="53">
        <v>50972</v>
      </c>
      <c r="D526" s="54">
        <v>77488</v>
      </c>
      <c r="K526" s="54"/>
      <c r="N526" s="62">
        <v>767000698</v>
      </c>
      <c r="O526" s="56">
        <v>3038591986</v>
      </c>
      <c r="P526" s="44"/>
      <c r="Q526" s="57">
        <v>44831</v>
      </c>
      <c r="R526" s="58" t="s">
        <v>87</v>
      </c>
      <c r="S526" s="45"/>
      <c r="T526" s="45"/>
      <c r="U526" s="59">
        <v>945007891</v>
      </c>
      <c r="V526" s="58" t="s">
        <v>550</v>
      </c>
      <c r="W526" s="60" t="s">
        <v>73</v>
      </c>
      <c r="X526" s="58" t="s">
        <v>90</v>
      </c>
      <c r="Y526" s="61">
        <f>40745+(6*364)</f>
        <v>42929</v>
      </c>
      <c r="Z526" s="44">
        <f t="shared" ca="1" si="8"/>
        <v>7</v>
      </c>
    </row>
    <row r="527" spans="1:26" x14ac:dyDescent="0.25">
      <c r="A527" s="52" t="s">
        <v>790</v>
      </c>
      <c r="B527" s="52" t="s">
        <v>94</v>
      </c>
      <c r="C527" s="53">
        <v>85696</v>
      </c>
      <c r="D527" s="54">
        <v>27434</v>
      </c>
      <c r="K527" s="54"/>
      <c r="N527" s="62">
        <v>768000144</v>
      </c>
      <c r="O527" s="56">
        <v>9703922813</v>
      </c>
      <c r="P527" s="44" t="s">
        <v>92</v>
      </c>
      <c r="Q527" s="57">
        <v>44828</v>
      </c>
      <c r="R527" s="58" t="s">
        <v>71</v>
      </c>
      <c r="S527" s="45"/>
      <c r="T527" s="45"/>
      <c r="U527" s="59">
        <v>161000531</v>
      </c>
      <c r="V527" s="58" t="s">
        <v>778</v>
      </c>
      <c r="W527" s="60" t="s">
        <v>89</v>
      </c>
      <c r="X527" s="58" t="s">
        <v>94</v>
      </c>
      <c r="Y527" s="61">
        <f>38304+(6*364)</f>
        <v>40488</v>
      </c>
      <c r="Z527" s="44">
        <f t="shared" ca="1" si="8"/>
        <v>14</v>
      </c>
    </row>
    <row r="528" spans="1:26" x14ac:dyDescent="0.25">
      <c r="A528" s="52" t="s">
        <v>791</v>
      </c>
      <c r="B528" s="52" t="s">
        <v>94</v>
      </c>
      <c r="C528" s="53">
        <v>39390</v>
      </c>
      <c r="D528" s="54">
        <v>64172</v>
      </c>
      <c r="K528" s="54"/>
      <c r="N528" s="55">
        <v>770008594</v>
      </c>
      <c r="O528" s="56">
        <v>9708085402</v>
      </c>
      <c r="P528" s="44" t="s">
        <v>76</v>
      </c>
      <c r="Q528" s="57">
        <v>36336</v>
      </c>
      <c r="R528" s="58" t="s">
        <v>77</v>
      </c>
      <c r="S528" s="45"/>
      <c r="T528" s="45"/>
      <c r="U528" s="59">
        <v>455008527</v>
      </c>
      <c r="V528" s="58" t="s">
        <v>728</v>
      </c>
      <c r="W528" s="60" t="s">
        <v>84</v>
      </c>
      <c r="X528" s="58" t="s">
        <v>104</v>
      </c>
      <c r="Y528" s="61">
        <f>36664+(6*364)</f>
        <v>38848</v>
      </c>
      <c r="Z528" s="44">
        <f t="shared" ca="1" si="8"/>
        <v>18</v>
      </c>
    </row>
    <row r="529" spans="1:26" x14ac:dyDescent="0.25">
      <c r="A529" s="52" t="s">
        <v>792</v>
      </c>
      <c r="B529" s="52" t="s">
        <v>94</v>
      </c>
      <c r="C529" s="53">
        <v>28214</v>
      </c>
      <c r="D529" s="54">
        <v>90557</v>
      </c>
      <c r="K529" s="54"/>
      <c r="N529" s="62">
        <v>772005528</v>
      </c>
      <c r="O529" s="56">
        <v>9706101454</v>
      </c>
      <c r="P529" s="44"/>
      <c r="Q529" s="57">
        <v>58362</v>
      </c>
      <c r="R529" s="58" t="s">
        <v>87</v>
      </c>
      <c r="S529" s="45"/>
      <c r="T529" s="45"/>
      <c r="U529" s="59">
        <v>720008856</v>
      </c>
      <c r="V529" s="58" t="s">
        <v>661</v>
      </c>
      <c r="W529" s="60" t="s">
        <v>73</v>
      </c>
      <c r="X529" s="58" t="s">
        <v>160</v>
      </c>
      <c r="Y529" s="61">
        <f>35637+(6*364)</f>
        <v>37821</v>
      </c>
      <c r="Z529" s="44">
        <f t="shared" ca="1" si="8"/>
        <v>21</v>
      </c>
    </row>
    <row r="530" spans="1:26" x14ac:dyDescent="0.25">
      <c r="A530" s="52" t="s">
        <v>794</v>
      </c>
      <c r="B530" s="52" t="s">
        <v>94</v>
      </c>
      <c r="C530" s="53">
        <v>78378</v>
      </c>
      <c r="D530" s="54">
        <v>78441</v>
      </c>
      <c r="K530" s="54"/>
      <c r="N530" s="55">
        <v>773004253</v>
      </c>
      <c r="O530" s="56">
        <v>5051971988</v>
      </c>
      <c r="P530" s="44"/>
      <c r="Q530" s="57">
        <v>106812</v>
      </c>
      <c r="R530" s="58" t="s">
        <v>109</v>
      </c>
      <c r="S530" s="45"/>
      <c r="T530" s="45"/>
      <c r="U530" s="59">
        <v>757001875</v>
      </c>
      <c r="V530" s="58" t="s">
        <v>551</v>
      </c>
      <c r="W530" s="60" t="s">
        <v>73</v>
      </c>
      <c r="X530" s="58" t="s">
        <v>90</v>
      </c>
      <c r="Y530" s="61">
        <f>42127+(6*364)</f>
        <v>44311</v>
      </c>
      <c r="Z530" s="44">
        <f t="shared" ca="1" si="8"/>
        <v>3</v>
      </c>
    </row>
    <row r="531" spans="1:26" x14ac:dyDescent="0.25">
      <c r="A531" s="52" t="s">
        <v>795</v>
      </c>
      <c r="B531" s="52" t="s">
        <v>94</v>
      </c>
      <c r="C531" s="53">
        <v>37757</v>
      </c>
      <c r="D531" s="54">
        <v>92696</v>
      </c>
      <c r="K531" s="54"/>
      <c r="N531" s="62">
        <v>774000445</v>
      </c>
      <c r="O531" s="56">
        <v>9707662359</v>
      </c>
      <c r="P531" s="44"/>
      <c r="Q531" s="57">
        <v>93377</v>
      </c>
      <c r="R531" s="58" t="s">
        <v>109</v>
      </c>
      <c r="S531" s="45"/>
      <c r="T531" s="45"/>
      <c r="U531" s="59">
        <v>935007881</v>
      </c>
      <c r="V531" s="58" t="s">
        <v>253</v>
      </c>
      <c r="W531" s="60" t="s">
        <v>73</v>
      </c>
      <c r="X531" s="58" t="s">
        <v>80</v>
      </c>
      <c r="Y531" s="61">
        <f>40252+(6*364)</f>
        <v>42436</v>
      </c>
      <c r="Z531" s="44">
        <f t="shared" ca="1" si="8"/>
        <v>8</v>
      </c>
    </row>
    <row r="532" spans="1:26" x14ac:dyDescent="0.25">
      <c r="A532" s="52" t="s">
        <v>796</v>
      </c>
      <c r="B532" s="52" t="s">
        <v>94</v>
      </c>
      <c r="C532" s="53">
        <v>51323</v>
      </c>
      <c r="D532" s="54">
        <v>98599</v>
      </c>
      <c r="K532" s="54"/>
      <c r="N532" s="55">
        <v>774003171</v>
      </c>
      <c r="O532" s="56">
        <v>5051264786</v>
      </c>
      <c r="P532" s="44"/>
      <c r="Q532" s="57">
        <v>58304</v>
      </c>
      <c r="R532" s="58" t="s">
        <v>87</v>
      </c>
      <c r="S532" s="45"/>
      <c r="T532" s="45"/>
      <c r="U532" s="59">
        <v>519001478</v>
      </c>
      <c r="V532" s="58" t="s">
        <v>692</v>
      </c>
      <c r="W532" s="60" t="s">
        <v>101</v>
      </c>
      <c r="X532" s="58" t="s">
        <v>85</v>
      </c>
      <c r="Y532" s="61">
        <f>40420+(6*364)</f>
        <v>42604</v>
      </c>
      <c r="Z532" s="44">
        <f t="shared" ca="1" si="8"/>
        <v>8</v>
      </c>
    </row>
    <row r="533" spans="1:26" x14ac:dyDescent="0.25">
      <c r="A533" s="52" t="s">
        <v>797</v>
      </c>
      <c r="B533" s="52" t="s">
        <v>94</v>
      </c>
      <c r="C533" s="53">
        <v>71949</v>
      </c>
      <c r="D533" s="54">
        <v>132498</v>
      </c>
      <c r="K533" s="54"/>
      <c r="N533" s="62">
        <v>775006154</v>
      </c>
      <c r="O533" s="56">
        <v>7194532398</v>
      </c>
      <c r="P533" s="44" t="s">
        <v>99</v>
      </c>
      <c r="Q533" s="57">
        <v>43677</v>
      </c>
      <c r="R533" s="58" t="s">
        <v>71</v>
      </c>
      <c r="S533" s="45"/>
      <c r="T533" s="45"/>
      <c r="U533" s="59">
        <v>832008459</v>
      </c>
      <c r="V533" s="58" t="s">
        <v>779</v>
      </c>
      <c r="W533" s="60" t="s">
        <v>73</v>
      </c>
      <c r="X533" s="58" t="s">
        <v>129</v>
      </c>
      <c r="Y533" s="61">
        <f>36738+(6*364)</f>
        <v>38922</v>
      </c>
      <c r="Z533" s="44">
        <f t="shared" ca="1" si="8"/>
        <v>18</v>
      </c>
    </row>
    <row r="534" spans="1:26" x14ac:dyDescent="0.25">
      <c r="A534" s="52" t="s">
        <v>118</v>
      </c>
      <c r="B534" s="52" t="s">
        <v>173</v>
      </c>
      <c r="C534" s="53">
        <v>12518</v>
      </c>
      <c r="D534" s="54">
        <v>85055</v>
      </c>
      <c r="K534" s="54"/>
      <c r="N534" s="55">
        <v>775006957</v>
      </c>
      <c r="O534" s="56">
        <v>5055555817</v>
      </c>
      <c r="P534" s="44" t="s">
        <v>99</v>
      </c>
      <c r="Q534" s="57">
        <v>127924</v>
      </c>
      <c r="R534" s="58" t="s">
        <v>71</v>
      </c>
      <c r="S534" s="45"/>
      <c r="T534" s="45"/>
      <c r="U534" s="59">
        <v>337005706</v>
      </c>
      <c r="V534" s="58" t="s">
        <v>552</v>
      </c>
      <c r="W534" s="60" t="s">
        <v>79</v>
      </c>
      <c r="X534" s="58" t="s">
        <v>90</v>
      </c>
      <c r="Y534" s="61">
        <f>37638+(6*364)</f>
        <v>39822</v>
      </c>
      <c r="Z534" s="44">
        <f t="shared" ca="1" si="8"/>
        <v>16</v>
      </c>
    </row>
    <row r="535" spans="1:26" x14ac:dyDescent="0.25">
      <c r="A535" s="52" t="s">
        <v>126</v>
      </c>
      <c r="B535" s="52" t="s">
        <v>173</v>
      </c>
      <c r="C535" s="53">
        <v>93116</v>
      </c>
      <c r="D535" s="54">
        <v>68164</v>
      </c>
      <c r="K535" s="54"/>
      <c r="N535" s="62">
        <v>775006995</v>
      </c>
      <c r="O535" s="56">
        <v>9706252690</v>
      </c>
      <c r="P535" s="44" t="s">
        <v>99</v>
      </c>
      <c r="Q535" s="57">
        <v>36348</v>
      </c>
      <c r="R535" s="58" t="s">
        <v>71</v>
      </c>
      <c r="S535" s="45"/>
      <c r="T535" s="45"/>
      <c r="U535" s="59">
        <v>884009271</v>
      </c>
      <c r="V535" s="58" t="s">
        <v>555</v>
      </c>
      <c r="W535" s="60" t="s">
        <v>79</v>
      </c>
      <c r="X535" s="58" t="s">
        <v>90</v>
      </c>
      <c r="Y535" s="61">
        <f>41462+(6*364)</f>
        <v>43646</v>
      </c>
      <c r="Z535" s="44">
        <f t="shared" ca="1" si="8"/>
        <v>5</v>
      </c>
    </row>
    <row r="536" spans="1:26" x14ac:dyDescent="0.25">
      <c r="A536" s="52" t="s">
        <v>131</v>
      </c>
      <c r="B536" s="52" t="s">
        <v>173</v>
      </c>
      <c r="C536" s="53">
        <v>82747</v>
      </c>
      <c r="D536" s="54">
        <v>55879</v>
      </c>
      <c r="K536" s="54"/>
      <c r="N536" s="55">
        <v>776002183</v>
      </c>
      <c r="O536" s="56">
        <v>9704605984</v>
      </c>
      <c r="P536" s="44" t="s">
        <v>92</v>
      </c>
      <c r="Q536" s="57">
        <v>41129</v>
      </c>
      <c r="R536" s="58" t="s">
        <v>71</v>
      </c>
      <c r="S536" s="45"/>
      <c r="T536" s="45"/>
      <c r="U536" s="59">
        <v>542006386</v>
      </c>
      <c r="V536" s="58" t="s">
        <v>337</v>
      </c>
      <c r="W536" s="60" t="s">
        <v>154</v>
      </c>
      <c r="X536" s="58" t="s">
        <v>96</v>
      </c>
      <c r="Y536" s="61">
        <f>35406+(6*364)</f>
        <v>37590</v>
      </c>
      <c r="Z536" s="44">
        <f t="shared" ca="1" si="8"/>
        <v>22</v>
      </c>
    </row>
    <row r="537" spans="1:26" x14ac:dyDescent="0.25">
      <c r="A537" s="52" t="s">
        <v>156</v>
      </c>
      <c r="B537" s="52" t="s">
        <v>173</v>
      </c>
      <c r="C537" s="53">
        <v>98897</v>
      </c>
      <c r="D537" s="54">
        <v>136792</v>
      </c>
      <c r="K537" s="54"/>
      <c r="N537" s="62">
        <v>776007109</v>
      </c>
      <c r="O537" s="56">
        <v>3037687161</v>
      </c>
      <c r="P537" s="44" t="s">
        <v>99</v>
      </c>
      <c r="Q537" s="57">
        <v>123223</v>
      </c>
      <c r="R537" s="58" t="s">
        <v>71</v>
      </c>
      <c r="S537" s="45"/>
      <c r="T537" s="45"/>
      <c r="U537" s="59">
        <v>795007145</v>
      </c>
      <c r="V537" s="58" t="s">
        <v>730</v>
      </c>
      <c r="W537" s="60" t="s">
        <v>89</v>
      </c>
      <c r="X537" s="58" t="s">
        <v>107</v>
      </c>
      <c r="Y537" s="61">
        <f>37429+(6*364)</f>
        <v>39613</v>
      </c>
      <c r="Z537" s="44">
        <f t="shared" ca="1" si="8"/>
        <v>16</v>
      </c>
    </row>
    <row r="538" spans="1:26" x14ac:dyDescent="0.25">
      <c r="A538" s="52" t="s">
        <v>178</v>
      </c>
      <c r="B538" s="52" t="s">
        <v>173</v>
      </c>
      <c r="C538" s="53">
        <v>79852</v>
      </c>
      <c r="D538" s="54">
        <v>74505</v>
      </c>
      <c r="K538" s="54"/>
      <c r="N538" s="62">
        <v>778004872</v>
      </c>
      <c r="O538" s="56">
        <v>3037345539</v>
      </c>
      <c r="P538" s="44"/>
      <c r="Q538" s="57">
        <v>79586</v>
      </c>
      <c r="R538" s="58" t="s">
        <v>87</v>
      </c>
      <c r="S538" s="45"/>
      <c r="T538" s="45"/>
      <c r="U538" s="59">
        <v>529009100</v>
      </c>
      <c r="V538" s="58" t="s">
        <v>557</v>
      </c>
      <c r="W538" s="60" t="s">
        <v>89</v>
      </c>
      <c r="X538" s="58" t="s">
        <v>104</v>
      </c>
      <c r="Y538" s="61">
        <f>37893+(6*364)</f>
        <v>40077</v>
      </c>
      <c r="Z538" s="44">
        <f t="shared" ca="1" si="8"/>
        <v>15</v>
      </c>
    </row>
    <row r="539" spans="1:26" x14ac:dyDescent="0.25">
      <c r="A539" s="52" t="s">
        <v>193</v>
      </c>
      <c r="B539" s="52" t="s">
        <v>173</v>
      </c>
      <c r="C539" s="53">
        <v>12747</v>
      </c>
      <c r="D539" s="54">
        <v>105459</v>
      </c>
      <c r="K539" s="54"/>
      <c r="N539" s="62">
        <v>778005491</v>
      </c>
      <c r="O539" s="56">
        <v>9708912054</v>
      </c>
      <c r="P539" s="44"/>
      <c r="Q539" s="57">
        <v>86483</v>
      </c>
      <c r="R539" s="58" t="s">
        <v>87</v>
      </c>
      <c r="S539" s="45"/>
      <c r="T539" s="45"/>
      <c r="U539" s="59">
        <v>155006121</v>
      </c>
      <c r="V539" s="58" t="s">
        <v>390</v>
      </c>
      <c r="W539" s="60" t="s">
        <v>73</v>
      </c>
      <c r="X539" s="58" t="s">
        <v>107</v>
      </c>
      <c r="Y539" s="61">
        <f>41883+(6*364)</f>
        <v>44067</v>
      </c>
      <c r="Z539" s="44">
        <f t="shared" ca="1" si="8"/>
        <v>4</v>
      </c>
    </row>
    <row r="540" spans="1:26" x14ac:dyDescent="0.25">
      <c r="A540" s="52" t="s">
        <v>207</v>
      </c>
      <c r="B540" s="52" t="s">
        <v>173</v>
      </c>
      <c r="C540" s="53">
        <v>88143</v>
      </c>
      <c r="D540" s="54">
        <v>98371</v>
      </c>
      <c r="K540" s="54"/>
      <c r="N540" s="62">
        <v>778008670</v>
      </c>
      <c r="O540" s="56">
        <v>9703204992</v>
      </c>
      <c r="P540" s="44"/>
      <c r="Q540" s="57">
        <v>56880</v>
      </c>
      <c r="R540" s="58" t="s">
        <v>87</v>
      </c>
      <c r="S540" s="45"/>
      <c r="T540" s="45"/>
      <c r="U540" s="59">
        <v>520004790</v>
      </c>
      <c r="V540" s="58" t="s">
        <v>780</v>
      </c>
      <c r="W540" s="60" t="s">
        <v>101</v>
      </c>
      <c r="X540" s="58" t="s">
        <v>281</v>
      </c>
      <c r="Y540" s="61">
        <f>42308+(6*364)</f>
        <v>44492</v>
      </c>
      <c r="Z540" s="44">
        <f t="shared" ca="1" si="8"/>
        <v>3</v>
      </c>
    </row>
    <row r="541" spans="1:26" x14ac:dyDescent="0.25">
      <c r="A541" s="52" t="s">
        <v>209</v>
      </c>
      <c r="B541" s="52" t="s">
        <v>173</v>
      </c>
      <c r="C541" s="53">
        <v>49154</v>
      </c>
      <c r="D541" s="54">
        <v>86410</v>
      </c>
      <c r="K541" s="54"/>
      <c r="N541" s="62">
        <v>779008913</v>
      </c>
      <c r="O541" s="56">
        <v>7197077326</v>
      </c>
      <c r="P541" s="44" t="s">
        <v>76</v>
      </c>
      <c r="Q541" s="57">
        <v>59813</v>
      </c>
      <c r="R541" s="58" t="s">
        <v>71</v>
      </c>
      <c r="S541" s="45"/>
      <c r="T541" s="45"/>
      <c r="U541" s="59">
        <v>110005187</v>
      </c>
      <c r="V541" s="58" t="s">
        <v>732</v>
      </c>
      <c r="W541" s="60" t="s">
        <v>89</v>
      </c>
      <c r="X541" s="58" t="s">
        <v>74</v>
      </c>
      <c r="Y541" s="61">
        <f>41817+(6*364)</f>
        <v>44001</v>
      </c>
      <c r="Z541" s="44">
        <f t="shared" ca="1" si="8"/>
        <v>4</v>
      </c>
    </row>
    <row r="542" spans="1:26" x14ac:dyDescent="0.25">
      <c r="A542" s="52" t="s">
        <v>220</v>
      </c>
      <c r="B542" s="52" t="s">
        <v>173</v>
      </c>
      <c r="C542" s="53">
        <v>61298</v>
      </c>
      <c r="D542" s="54">
        <v>102041</v>
      </c>
      <c r="K542" s="54"/>
      <c r="N542" s="62">
        <v>779008961</v>
      </c>
      <c r="O542" s="56">
        <v>5052783818</v>
      </c>
      <c r="P542" s="44" t="s">
        <v>99</v>
      </c>
      <c r="Q542" s="57">
        <v>70968</v>
      </c>
      <c r="R542" s="58" t="s">
        <v>71</v>
      </c>
      <c r="S542" s="45"/>
      <c r="T542" s="45"/>
      <c r="U542" s="59">
        <v>773004253</v>
      </c>
      <c r="V542" s="58" t="s">
        <v>559</v>
      </c>
      <c r="W542" s="60" t="s">
        <v>79</v>
      </c>
      <c r="X542" s="58" t="s">
        <v>94</v>
      </c>
      <c r="Y542" s="61">
        <f>37870+(6*364)</f>
        <v>40054</v>
      </c>
      <c r="Z542" s="44">
        <f t="shared" ca="1" si="8"/>
        <v>15</v>
      </c>
    </row>
    <row r="543" spans="1:26" x14ac:dyDescent="0.25">
      <c r="A543" s="52" t="s">
        <v>245</v>
      </c>
      <c r="B543" s="52" t="s">
        <v>173</v>
      </c>
      <c r="C543" s="53">
        <v>53586</v>
      </c>
      <c r="D543" s="54">
        <v>106259</v>
      </c>
      <c r="K543" s="54"/>
      <c r="N543" s="62">
        <v>781004381</v>
      </c>
      <c r="O543" s="56">
        <v>7195725646</v>
      </c>
      <c r="P543" s="44" t="s">
        <v>92</v>
      </c>
      <c r="Q543" s="57">
        <v>35577</v>
      </c>
      <c r="R543" s="58" t="s">
        <v>77</v>
      </c>
      <c r="S543" s="45"/>
      <c r="T543" s="45"/>
      <c r="U543" s="59">
        <v>350004566</v>
      </c>
      <c r="V543" s="58" t="s">
        <v>560</v>
      </c>
      <c r="W543" s="60" t="s">
        <v>154</v>
      </c>
      <c r="X543" s="58" t="s">
        <v>74</v>
      </c>
      <c r="Y543" s="61">
        <f>38338+(6*364)</f>
        <v>40522</v>
      </c>
      <c r="Z543" s="44">
        <f t="shared" ca="1" si="8"/>
        <v>14</v>
      </c>
    </row>
    <row r="544" spans="1:26" x14ac:dyDescent="0.25">
      <c r="A544" s="52" t="s">
        <v>264</v>
      </c>
      <c r="B544" s="52" t="s">
        <v>173</v>
      </c>
      <c r="C544" s="53">
        <v>46606</v>
      </c>
      <c r="D544" s="54">
        <v>132120</v>
      </c>
      <c r="K544" s="54"/>
      <c r="N544" s="62">
        <v>781005463</v>
      </c>
      <c r="O544" s="56">
        <v>3032232339</v>
      </c>
      <c r="P544" s="44" t="s">
        <v>99</v>
      </c>
      <c r="Q544" s="57">
        <v>71391</v>
      </c>
      <c r="R544" s="58" t="s">
        <v>71</v>
      </c>
      <c r="S544" s="45"/>
      <c r="T544" s="45"/>
      <c r="U544" s="59">
        <v>397003760</v>
      </c>
      <c r="V544" s="58" t="s">
        <v>121</v>
      </c>
      <c r="W544" s="60" t="s">
        <v>73</v>
      </c>
      <c r="X544" s="58" t="s">
        <v>94</v>
      </c>
      <c r="Y544" s="61">
        <f>37540+(6*364)</f>
        <v>39724</v>
      </c>
      <c r="Z544" s="44">
        <f t="shared" ca="1" si="8"/>
        <v>16</v>
      </c>
    </row>
    <row r="545" spans="1:26" x14ac:dyDescent="0.25">
      <c r="A545" s="52" t="s">
        <v>295</v>
      </c>
      <c r="B545" s="52" t="s">
        <v>173</v>
      </c>
      <c r="C545" s="53">
        <v>90096</v>
      </c>
      <c r="D545" s="54">
        <v>58162</v>
      </c>
      <c r="K545" s="54"/>
      <c r="N545" s="55">
        <v>781006535</v>
      </c>
      <c r="O545" s="56">
        <v>7193613417</v>
      </c>
      <c r="P545" s="44" t="s">
        <v>99</v>
      </c>
      <c r="Q545" s="57">
        <v>43788</v>
      </c>
      <c r="R545" s="58" t="s">
        <v>71</v>
      </c>
      <c r="S545" s="45"/>
      <c r="T545" s="45"/>
      <c r="U545" s="59">
        <v>976007455</v>
      </c>
      <c r="V545" s="58" t="s">
        <v>255</v>
      </c>
      <c r="W545" s="60" t="s">
        <v>154</v>
      </c>
      <c r="X545" s="58" t="s">
        <v>90</v>
      </c>
      <c r="Y545" s="61">
        <f>38337+(6*364)</f>
        <v>40521</v>
      </c>
      <c r="Z545" s="44">
        <f t="shared" ca="1" si="8"/>
        <v>14</v>
      </c>
    </row>
    <row r="546" spans="1:26" x14ac:dyDescent="0.25">
      <c r="A546" s="52" t="s">
        <v>305</v>
      </c>
      <c r="B546" s="52" t="s">
        <v>173</v>
      </c>
      <c r="C546" s="53">
        <v>78556</v>
      </c>
      <c r="D546" s="54">
        <v>87661</v>
      </c>
      <c r="K546" s="54"/>
      <c r="N546" s="62">
        <v>783008281</v>
      </c>
      <c r="O546" s="56">
        <v>7194907564</v>
      </c>
      <c r="P546" s="44" t="s">
        <v>92</v>
      </c>
      <c r="Q546" s="57">
        <v>126433</v>
      </c>
      <c r="R546" s="58" t="s">
        <v>71</v>
      </c>
      <c r="S546" s="45"/>
      <c r="T546" s="45"/>
      <c r="U546" s="59">
        <v>566006965</v>
      </c>
      <c r="V546" s="58" t="s">
        <v>663</v>
      </c>
      <c r="W546" s="60" t="s">
        <v>89</v>
      </c>
      <c r="X546" s="58" t="s">
        <v>80</v>
      </c>
      <c r="Y546" s="61">
        <f>35901+(6*364)</f>
        <v>38085</v>
      </c>
      <c r="Z546" s="44">
        <f t="shared" ca="1" si="8"/>
        <v>20</v>
      </c>
    </row>
    <row r="547" spans="1:26" x14ac:dyDescent="0.25">
      <c r="A547" s="52" t="s">
        <v>804</v>
      </c>
      <c r="B547" s="52" t="s">
        <v>173</v>
      </c>
      <c r="C547" s="53">
        <v>37157</v>
      </c>
      <c r="D547" s="54">
        <v>85594</v>
      </c>
      <c r="K547" s="54"/>
      <c r="N547" s="62">
        <v>784009698</v>
      </c>
      <c r="O547" s="56">
        <v>3034794769</v>
      </c>
      <c r="P547" s="44" t="s">
        <v>82</v>
      </c>
      <c r="Q547" s="57">
        <v>100202</v>
      </c>
      <c r="R547" s="58" t="s">
        <v>71</v>
      </c>
      <c r="S547" s="45"/>
      <c r="T547" s="45"/>
      <c r="U547" s="59">
        <v>233005964</v>
      </c>
      <c r="V547" s="58" t="s">
        <v>257</v>
      </c>
      <c r="W547" s="60" t="s">
        <v>89</v>
      </c>
      <c r="X547" s="58" t="s">
        <v>104</v>
      </c>
      <c r="Y547" s="61">
        <f>38253+(6*364)</f>
        <v>40437</v>
      </c>
      <c r="Z547" s="44">
        <f t="shared" ca="1" si="8"/>
        <v>14</v>
      </c>
    </row>
    <row r="548" spans="1:26" x14ac:dyDescent="0.25">
      <c r="A548" s="52" t="s">
        <v>314</v>
      </c>
      <c r="B548" s="52" t="s">
        <v>173</v>
      </c>
      <c r="C548" s="53">
        <v>45856</v>
      </c>
      <c r="D548" s="54">
        <v>72263</v>
      </c>
      <c r="K548" s="54"/>
      <c r="N548" s="62">
        <v>786009448</v>
      </c>
      <c r="O548" s="56">
        <v>7196396432</v>
      </c>
      <c r="P548" s="44" t="s">
        <v>99</v>
      </c>
      <c r="Q548" s="57">
        <v>55373</v>
      </c>
      <c r="R548" s="58" t="s">
        <v>71</v>
      </c>
      <c r="S548" s="45"/>
      <c r="T548" s="45"/>
      <c r="U548" s="59">
        <v>833000750</v>
      </c>
      <c r="V548" s="58" t="s">
        <v>294</v>
      </c>
      <c r="W548" s="60" t="s">
        <v>89</v>
      </c>
      <c r="X548" s="58" t="s">
        <v>90</v>
      </c>
      <c r="Y548" s="61">
        <f>38193+(6*364)</f>
        <v>40377</v>
      </c>
      <c r="Z548" s="44">
        <f t="shared" ca="1" si="8"/>
        <v>14</v>
      </c>
    </row>
    <row r="549" spans="1:26" x14ac:dyDescent="0.25">
      <c r="A549" s="52" t="s">
        <v>317</v>
      </c>
      <c r="B549" s="52" t="s">
        <v>173</v>
      </c>
      <c r="C549" s="53">
        <v>71671</v>
      </c>
      <c r="D549" s="54">
        <v>103863</v>
      </c>
      <c r="K549" s="54"/>
      <c r="N549" s="62">
        <v>787005821</v>
      </c>
      <c r="O549" s="56">
        <v>7196479087</v>
      </c>
      <c r="P549" s="44" t="s">
        <v>99</v>
      </c>
      <c r="Q549" s="57">
        <v>35968</v>
      </c>
      <c r="R549" s="58" t="s">
        <v>71</v>
      </c>
      <c r="S549" s="45"/>
      <c r="T549" s="45"/>
      <c r="U549" s="59">
        <v>105008005</v>
      </c>
      <c r="V549" s="58" t="s">
        <v>562</v>
      </c>
      <c r="W549" s="60" t="s">
        <v>101</v>
      </c>
      <c r="X549" s="58" t="s">
        <v>104</v>
      </c>
      <c r="Y549" s="61">
        <f>41223+(6*364)</f>
        <v>43407</v>
      </c>
      <c r="Z549" s="44">
        <f t="shared" ca="1" si="8"/>
        <v>6</v>
      </c>
    </row>
    <row r="550" spans="1:26" x14ac:dyDescent="0.25">
      <c r="A550" s="52" t="s">
        <v>328</v>
      </c>
      <c r="B550" s="52" t="s">
        <v>173</v>
      </c>
      <c r="C550" s="53">
        <v>61200</v>
      </c>
      <c r="D550" s="54">
        <v>85492</v>
      </c>
      <c r="K550" s="54"/>
      <c r="N550" s="62">
        <v>787007811</v>
      </c>
      <c r="O550" s="56">
        <v>9705197037</v>
      </c>
      <c r="P550" s="44"/>
      <c r="Q550" s="57">
        <v>52022</v>
      </c>
      <c r="R550" s="58" t="s">
        <v>87</v>
      </c>
      <c r="S550" s="45"/>
      <c r="T550" s="45"/>
      <c r="U550" s="59">
        <v>241001094</v>
      </c>
      <c r="V550" s="58" t="s">
        <v>733</v>
      </c>
      <c r="W550" s="60" t="s">
        <v>89</v>
      </c>
      <c r="X550" s="58" t="s">
        <v>94</v>
      </c>
      <c r="Y550" s="61">
        <f>35450+(6*364)</f>
        <v>37634</v>
      </c>
      <c r="Z550" s="44">
        <f t="shared" ca="1" si="8"/>
        <v>22</v>
      </c>
    </row>
    <row r="551" spans="1:26" x14ac:dyDescent="0.25">
      <c r="A551" s="52" t="s">
        <v>406</v>
      </c>
      <c r="B551" s="52" t="s">
        <v>173</v>
      </c>
      <c r="C551" s="53">
        <v>66204</v>
      </c>
      <c r="D551" s="54">
        <v>59466</v>
      </c>
      <c r="K551" s="54"/>
      <c r="N551" s="62">
        <v>793006357</v>
      </c>
      <c r="O551" s="56">
        <v>9706753698</v>
      </c>
      <c r="P551" s="44" t="s">
        <v>99</v>
      </c>
      <c r="Q551" s="57">
        <v>41345</v>
      </c>
      <c r="R551" s="58" t="s">
        <v>71</v>
      </c>
      <c r="S551" s="45"/>
      <c r="T551" s="45"/>
      <c r="U551" s="59">
        <v>652003650</v>
      </c>
      <c r="V551" s="58" t="s">
        <v>664</v>
      </c>
      <c r="W551" s="60" t="s">
        <v>89</v>
      </c>
      <c r="X551" s="58" t="s">
        <v>107</v>
      </c>
      <c r="Y551" s="61">
        <f>37826+(6*364)</f>
        <v>40010</v>
      </c>
      <c r="Z551" s="44">
        <f t="shared" ca="1" si="8"/>
        <v>15</v>
      </c>
    </row>
    <row r="552" spans="1:26" x14ac:dyDescent="0.25">
      <c r="A552" s="52" t="s">
        <v>422</v>
      </c>
      <c r="B552" s="52" t="s">
        <v>173</v>
      </c>
      <c r="C552" s="53">
        <v>55067</v>
      </c>
      <c r="D552" s="54">
        <v>77182</v>
      </c>
      <c r="K552" s="54"/>
      <c r="N552" s="62">
        <v>794004221</v>
      </c>
      <c r="O552" s="56">
        <v>9704272773</v>
      </c>
      <c r="P552" s="44" t="s">
        <v>76</v>
      </c>
      <c r="Q552" s="57">
        <v>74100</v>
      </c>
      <c r="R552" s="58" t="s">
        <v>77</v>
      </c>
      <c r="S552" s="45"/>
      <c r="T552" s="45"/>
      <c r="U552" s="59">
        <v>278008893</v>
      </c>
      <c r="V552" s="58" t="s">
        <v>666</v>
      </c>
      <c r="W552" s="60" t="s">
        <v>73</v>
      </c>
      <c r="X552" s="58" t="s">
        <v>80</v>
      </c>
      <c r="Y552" s="61">
        <f>37750+(6*364)</f>
        <v>39934</v>
      </c>
      <c r="Z552" s="44">
        <f t="shared" ca="1" si="8"/>
        <v>15</v>
      </c>
    </row>
    <row r="553" spans="1:26" x14ac:dyDescent="0.25">
      <c r="A553" s="52" t="s">
        <v>426</v>
      </c>
      <c r="B553" s="52" t="s">
        <v>173</v>
      </c>
      <c r="C553" s="53">
        <v>37822</v>
      </c>
      <c r="D553" s="54">
        <v>81960</v>
      </c>
      <c r="K553" s="54"/>
      <c r="N553" s="62">
        <v>795004220</v>
      </c>
      <c r="O553" s="56">
        <v>5053744359</v>
      </c>
      <c r="P553" s="44" t="s">
        <v>76</v>
      </c>
      <c r="Q553" s="57">
        <v>127134</v>
      </c>
      <c r="R553" s="58" t="s">
        <v>77</v>
      </c>
      <c r="S553" s="45"/>
      <c r="T553" s="45"/>
      <c r="U553" s="59">
        <v>324001426</v>
      </c>
      <c r="V553" s="58" t="s">
        <v>564</v>
      </c>
      <c r="W553" s="60" t="s">
        <v>79</v>
      </c>
      <c r="X553" s="58" t="s">
        <v>19</v>
      </c>
      <c r="Y553" s="61">
        <f>35214+(6*364)</f>
        <v>37398</v>
      </c>
      <c r="Z553" s="44">
        <f t="shared" ca="1" si="8"/>
        <v>22</v>
      </c>
    </row>
    <row r="554" spans="1:26" x14ac:dyDescent="0.25">
      <c r="A554" s="52" t="s">
        <v>434</v>
      </c>
      <c r="B554" s="52" t="s">
        <v>173</v>
      </c>
      <c r="C554" s="53">
        <v>64515</v>
      </c>
      <c r="D554" s="54">
        <v>63372</v>
      </c>
      <c r="K554" s="54"/>
      <c r="N554" s="62">
        <v>795007145</v>
      </c>
      <c r="O554" s="56">
        <v>3033825834</v>
      </c>
      <c r="P554" s="44"/>
      <c r="Q554" s="57">
        <v>67096</v>
      </c>
      <c r="R554" s="58" t="s">
        <v>87</v>
      </c>
      <c r="S554" s="45"/>
      <c r="T554" s="45"/>
      <c r="U554" s="59">
        <v>904005434</v>
      </c>
      <c r="V554" s="58" t="s">
        <v>123</v>
      </c>
      <c r="W554" s="60" t="s">
        <v>154</v>
      </c>
      <c r="X554" s="58" t="s">
        <v>74</v>
      </c>
      <c r="Y554" s="61">
        <f>35003+(6*364)</f>
        <v>37187</v>
      </c>
      <c r="Z554" s="44">
        <f t="shared" ca="1" si="8"/>
        <v>23</v>
      </c>
    </row>
    <row r="555" spans="1:26" x14ac:dyDescent="0.25">
      <c r="A555" s="52" t="s">
        <v>459</v>
      </c>
      <c r="B555" s="52" t="s">
        <v>173</v>
      </c>
      <c r="C555" s="53">
        <v>23061</v>
      </c>
      <c r="D555" s="54">
        <v>126968</v>
      </c>
      <c r="K555" s="54"/>
      <c r="N555" s="62">
        <v>798000482</v>
      </c>
      <c r="O555" s="56">
        <v>5056733291</v>
      </c>
      <c r="P555" s="44"/>
      <c r="Q555" s="57">
        <v>97644</v>
      </c>
      <c r="R555" s="58" t="s">
        <v>87</v>
      </c>
      <c r="S555" s="45"/>
      <c r="T555" s="45"/>
      <c r="U555" s="59">
        <v>511004728</v>
      </c>
      <c r="V555" s="58" t="s">
        <v>782</v>
      </c>
      <c r="W555" s="60" t="s">
        <v>154</v>
      </c>
      <c r="X555" s="58" t="s">
        <v>90</v>
      </c>
      <c r="Y555" s="61">
        <f>36089+(6*364)</f>
        <v>38273</v>
      </c>
      <c r="Z555" s="44">
        <f t="shared" ca="1" si="8"/>
        <v>20</v>
      </c>
    </row>
    <row r="556" spans="1:26" x14ac:dyDescent="0.25">
      <c r="A556" s="52" t="s">
        <v>461</v>
      </c>
      <c r="B556" s="52" t="s">
        <v>173</v>
      </c>
      <c r="C556" s="53">
        <v>20143</v>
      </c>
      <c r="D556" s="54">
        <v>53373</v>
      </c>
      <c r="K556" s="54"/>
      <c r="N556" s="62">
        <v>799004902</v>
      </c>
      <c r="O556" s="56">
        <v>5051462245</v>
      </c>
      <c r="P556" s="44" t="s">
        <v>92</v>
      </c>
      <c r="Q556" s="57">
        <v>52427</v>
      </c>
      <c r="R556" s="58" t="s">
        <v>77</v>
      </c>
      <c r="S556" s="45"/>
      <c r="T556" s="45"/>
      <c r="U556" s="59">
        <v>352005870</v>
      </c>
      <c r="V556" s="58" t="s">
        <v>565</v>
      </c>
      <c r="W556" s="60" t="s">
        <v>73</v>
      </c>
      <c r="X556" s="58" t="s">
        <v>80</v>
      </c>
      <c r="Y556" s="61">
        <f>41207+(6*364)</f>
        <v>43391</v>
      </c>
      <c r="Z556" s="44">
        <f t="shared" ca="1" si="8"/>
        <v>6</v>
      </c>
    </row>
    <row r="557" spans="1:26" x14ac:dyDescent="0.25">
      <c r="A557" s="52" t="s">
        <v>810</v>
      </c>
      <c r="B557" s="52" t="s">
        <v>173</v>
      </c>
      <c r="C557" s="53">
        <v>87203</v>
      </c>
      <c r="D557" s="54">
        <v>98343</v>
      </c>
      <c r="K557" s="54"/>
      <c r="N557" s="62">
        <v>809001818</v>
      </c>
      <c r="O557" s="56">
        <v>7192636321</v>
      </c>
      <c r="P557" s="44" t="s">
        <v>70</v>
      </c>
      <c r="Q557" s="57">
        <v>62437</v>
      </c>
      <c r="R557" s="58" t="s">
        <v>71</v>
      </c>
      <c r="S557" s="45"/>
      <c r="T557" s="45"/>
      <c r="U557" s="59">
        <v>593006512</v>
      </c>
      <c r="V557" s="58" t="s">
        <v>566</v>
      </c>
      <c r="W557" s="60" t="s">
        <v>73</v>
      </c>
      <c r="X557" s="58" t="s">
        <v>173</v>
      </c>
      <c r="Y557" s="61">
        <f>37493+(6*364)</f>
        <v>39677</v>
      </c>
      <c r="Z557" s="44">
        <f t="shared" ca="1" si="8"/>
        <v>16</v>
      </c>
    </row>
    <row r="558" spans="1:26" x14ac:dyDescent="0.25">
      <c r="A558" s="52" t="s">
        <v>611</v>
      </c>
      <c r="B558" s="52" t="s">
        <v>173</v>
      </c>
      <c r="C558" s="53">
        <v>59773</v>
      </c>
      <c r="D558" s="54">
        <v>61581</v>
      </c>
      <c r="K558" s="54"/>
      <c r="N558" s="62">
        <v>810006760</v>
      </c>
      <c r="O558" s="56">
        <v>5058624601</v>
      </c>
      <c r="P558" s="44" t="s">
        <v>92</v>
      </c>
      <c r="Q558" s="57">
        <v>127789</v>
      </c>
      <c r="R558" s="58" t="s">
        <v>77</v>
      </c>
      <c r="S558" s="45"/>
      <c r="T558" s="45"/>
      <c r="U558" s="59">
        <v>345007555</v>
      </c>
      <c r="V558" s="58" t="s">
        <v>749</v>
      </c>
      <c r="W558" s="60" t="s">
        <v>89</v>
      </c>
      <c r="X558" s="58" t="s">
        <v>107</v>
      </c>
      <c r="Y558" s="61">
        <f>39165+(6*364)</f>
        <v>41349</v>
      </c>
      <c r="Z558" s="44">
        <f t="shared" ca="1" si="8"/>
        <v>11</v>
      </c>
    </row>
    <row r="559" spans="1:26" x14ac:dyDescent="0.25">
      <c r="A559" s="52" t="s">
        <v>612</v>
      </c>
      <c r="B559" s="52" t="s">
        <v>173</v>
      </c>
      <c r="C559" s="53">
        <v>68273</v>
      </c>
      <c r="D559" s="54">
        <v>68815</v>
      </c>
      <c r="K559" s="54"/>
      <c r="N559" s="62">
        <v>811004245</v>
      </c>
      <c r="O559" s="56">
        <v>9705506190</v>
      </c>
      <c r="P559" s="44" t="s">
        <v>82</v>
      </c>
      <c r="Q559" s="57">
        <v>63285</v>
      </c>
      <c r="R559" s="58" t="s">
        <v>71</v>
      </c>
      <c r="S559" s="45"/>
      <c r="T559" s="45"/>
      <c r="U559" s="59">
        <v>327004477</v>
      </c>
      <c r="V559" s="58" t="s">
        <v>734</v>
      </c>
      <c r="W559" s="60" t="s">
        <v>73</v>
      </c>
      <c r="X559" s="58" t="s">
        <v>173</v>
      </c>
      <c r="Y559" s="61">
        <f>35528+(6*364)</f>
        <v>37712</v>
      </c>
      <c r="Z559" s="44">
        <f t="shared" ca="1" si="8"/>
        <v>21</v>
      </c>
    </row>
    <row r="560" spans="1:26" x14ac:dyDescent="0.25">
      <c r="A560" s="52" t="s">
        <v>627</v>
      </c>
      <c r="B560" s="52" t="s">
        <v>173</v>
      </c>
      <c r="C560" s="53">
        <v>46420</v>
      </c>
      <c r="D560" s="54">
        <v>71770</v>
      </c>
      <c r="K560" s="54"/>
      <c r="N560" s="62">
        <v>811008190</v>
      </c>
      <c r="O560" s="56">
        <v>5058256039</v>
      </c>
      <c r="P560" s="44" t="s">
        <v>82</v>
      </c>
      <c r="Q560" s="57">
        <v>117942</v>
      </c>
      <c r="R560" s="58" t="s">
        <v>71</v>
      </c>
      <c r="S560" s="45"/>
      <c r="T560" s="45"/>
      <c r="U560" s="59">
        <v>198000959</v>
      </c>
      <c r="V560" s="58" t="s">
        <v>392</v>
      </c>
      <c r="W560" s="60" t="s">
        <v>73</v>
      </c>
      <c r="X560" s="58" t="s">
        <v>190</v>
      </c>
      <c r="Y560" s="61">
        <f>34995+(6*364)</f>
        <v>37179</v>
      </c>
      <c r="Z560" s="44">
        <f t="shared" ca="1" si="8"/>
        <v>23</v>
      </c>
    </row>
    <row r="561" spans="1:26" x14ac:dyDescent="0.25">
      <c r="A561" s="52" t="s">
        <v>628</v>
      </c>
      <c r="B561" s="52" t="s">
        <v>173</v>
      </c>
      <c r="C561" s="53">
        <v>29545</v>
      </c>
      <c r="D561" s="54">
        <v>131917</v>
      </c>
      <c r="K561" s="54"/>
      <c r="N561" s="62">
        <v>813001034</v>
      </c>
      <c r="O561" s="56">
        <v>7197961953</v>
      </c>
      <c r="P561" s="44" t="s">
        <v>82</v>
      </c>
      <c r="Q561" s="57">
        <v>121220</v>
      </c>
      <c r="R561" s="58" t="s">
        <v>71</v>
      </c>
      <c r="S561" s="45"/>
      <c r="T561" s="45"/>
      <c r="U561" s="59">
        <v>392003325</v>
      </c>
      <c r="V561" s="58" t="s">
        <v>793</v>
      </c>
      <c r="W561" s="60" t="s">
        <v>79</v>
      </c>
      <c r="X561" s="58" t="s">
        <v>85</v>
      </c>
      <c r="Y561" s="61">
        <f>38586+(6*364)</f>
        <v>40770</v>
      </c>
      <c r="Z561" s="44">
        <f t="shared" ca="1" si="8"/>
        <v>13</v>
      </c>
    </row>
    <row r="562" spans="1:26" x14ac:dyDescent="0.25">
      <c r="A562" s="52" t="s">
        <v>630</v>
      </c>
      <c r="B562" s="52" t="s">
        <v>173</v>
      </c>
      <c r="C562" s="53">
        <v>25926</v>
      </c>
      <c r="D562" s="54">
        <v>64143</v>
      </c>
      <c r="K562" s="54"/>
      <c r="N562" s="62">
        <v>814006756</v>
      </c>
      <c r="O562" s="56">
        <v>5051653055</v>
      </c>
      <c r="P562" s="44"/>
      <c r="Q562" s="57">
        <v>109216</v>
      </c>
      <c r="R562" s="58" t="s">
        <v>109</v>
      </c>
      <c r="S562" s="45"/>
      <c r="T562" s="45"/>
      <c r="U562" s="59">
        <v>697008121</v>
      </c>
      <c r="V562" s="58" t="s">
        <v>783</v>
      </c>
      <c r="W562" s="60" t="s">
        <v>79</v>
      </c>
      <c r="X562" s="58" t="s">
        <v>107</v>
      </c>
      <c r="Y562" s="61">
        <f>40894+(6*364)</f>
        <v>43078</v>
      </c>
      <c r="Z562" s="44">
        <f t="shared" ca="1" si="8"/>
        <v>7</v>
      </c>
    </row>
    <row r="563" spans="1:26" x14ac:dyDescent="0.25">
      <c r="A563" s="52" t="s">
        <v>631</v>
      </c>
      <c r="B563" s="52" t="s">
        <v>173</v>
      </c>
      <c r="C563" s="53">
        <v>19798</v>
      </c>
      <c r="D563" s="54">
        <v>29675</v>
      </c>
      <c r="K563" s="54"/>
      <c r="N563" s="62">
        <v>815000995</v>
      </c>
      <c r="O563" s="56">
        <v>3032380636</v>
      </c>
      <c r="P563" s="44"/>
      <c r="Q563" s="57">
        <v>48406</v>
      </c>
      <c r="R563" s="58" t="s">
        <v>87</v>
      </c>
      <c r="S563" s="45"/>
      <c r="T563" s="45"/>
      <c r="U563" s="59">
        <v>433000320</v>
      </c>
      <c r="V563" s="58" t="s">
        <v>784</v>
      </c>
      <c r="W563" s="60" t="s">
        <v>73</v>
      </c>
      <c r="X563" s="58" t="s">
        <v>173</v>
      </c>
      <c r="Y563" s="61">
        <f>36084+(6*364)</f>
        <v>38268</v>
      </c>
      <c r="Z563" s="44">
        <f t="shared" ca="1" si="8"/>
        <v>20</v>
      </c>
    </row>
    <row r="564" spans="1:26" x14ac:dyDescent="0.25">
      <c r="A564" s="52" t="s">
        <v>636</v>
      </c>
      <c r="B564" s="52" t="s">
        <v>173</v>
      </c>
      <c r="C564" s="53">
        <v>89815</v>
      </c>
      <c r="D564" s="54">
        <v>40755</v>
      </c>
      <c r="K564" s="54"/>
      <c r="N564" s="62">
        <v>815007954</v>
      </c>
      <c r="O564" s="56">
        <v>9701630739</v>
      </c>
      <c r="P564" s="44" t="s">
        <v>99</v>
      </c>
      <c r="Q564" s="57">
        <v>118834</v>
      </c>
      <c r="R564" s="58" t="s">
        <v>71</v>
      </c>
      <c r="S564" s="45"/>
      <c r="T564" s="45"/>
      <c r="U564" s="59">
        <v>760008556</v>
      </c>
      <c r="V564" s="58" t="s">
        <v>568</v>
      </c>
      <c r="W564" s="60" t="s">
        <v>101</v>
      </c>
      <c r="X564" s="58" t="s">
        <v>96</v>
      </c>
      <c r="Y564" s="61">
        <f>38067+(6*364)</f>
        <v>40251</v>
      </c>
      <c r="Z564" s="44">
        <f t="shared" ca="1" si="8"/>
        <v>14</v>
      </c>
    </row>
    <row r="565" spans="1:26" x14ac:dyDescent="0.25">
      <c r="A565" s="52" t="s">
        <v>639</v>
      </c>
      <c r="B565" s="52" t="s">
        <v>173</v>
      </c>
      <c r="C565" s="53">
        <v>33523</v>
      </c>
      <c r="D565" s="54">
        <v>108894</v>
      </c>
      <c r="K565" s="54"/>
      <c r="N565" s="62">
        <v>823006933</v>
      </c>
      <c r="O565" s="56">
        <v>9707126482</v>
      </c>
      <c r="P565" s="44"/>
      <c r="Q565" s="57">
        <v>79040</v>
      </c>
      <c r="R565" s="58" t="s">
        <v>87</v>
      </c>
      <c r="S565" s="45"/>
      <c r="T565" s="45"/>
      <c r="U565" s="59">
        <v>175007347</v>
      </c>
      <c r="V565" s="58" t="s">
        <v>569</v>
      </c>
      <c r="W565" s="60" t="s">
        <v>89</v>
      </c>
      <c r="X565" s="58" t="s">
        <v>356</v>
      </c>
      <c r="Y565" s="61">
        <f>35309+(6*364)</f>
        <v>37493</v>
      </c>
      <c r="Z565" s="44">
        <f t="shared" ca="1" si="8"/>
        <v>22</v>
      </c>
    </row>
    <row r="566" spans="1:26" x14ac:dyDescent="0.25">
      <c r="A566" s="52" t="s">
        <v>658</v>
      </c>
      <c r="B566" s="52" t="s">
        <v>173</v>
      </c>
      <c r="C566" s="53">
        <v>95690</v>
      </c>
      <c r="D566" s="54">
        <v>121511</v>
      </c>
      <c r="K566" s="54"/>
      <c r="N566" s="62">
        <v>824003038</v>
      </c>
      <c r="O566" s="56">
        <v>5055508095</v>
      </c>
      <c r="P566" s="44" t="s">
        <v>99</v>
      </c>
      <c r="Q566" s="57">
        <v>75119</v>
      </c>
      <c r="R566" s="58" t="s">
        <v>71</v>
      </c>
      <c r="S566" s="45"/>
      <c r="T566" s="45"/>
      <c r="U566" s="59">
        <v>265009772</v>
      </c>
      <c r="V566" s="58" t="s">
        <v>667</v>
      </c>
      <c r="W566" s="60" t="s">
        <v>89</v>
      </c>
      <c r="X566" s="58" t="s">
        <v>80</v>
      </c>
      <c r="Y566" s="61">
        <f>36594+(6*364)</f>
        <v>38778</v>
      </c>
      <c r="Z566" s="44">
        <f t="shared" ca="1" si="8"/>
        <v>18</v>
      </c>
    </row>
    <row r="567" spans="1:26" x14ac:dyDescent="0.25">
      <c r="A567" s="52" t="s">
        <v>660</v>
      </c>
      <c r="B567" s="52" t="s">
        <v>173</v>
      </c>
      <c r="C567" s="53">
        <v>41863</v>
      </c>
      <c r="D567" s="54">
        <v>92550</v>
      </c>
      <c r="K567" s="54"/>
      <c r="N567" s="62">
        <v>830000615</v>
      </c>
      <c r="O567" s="56">
        <v>9707713771</v>
      </c>
      <c r="P567" s="44"/>
      <c r="Q567" s="57">
        <v>73467</v>
      </c>
      <c r="R567" s="58" t="s">
        <v>87</v>
      </c>
      <c r="S567" s="45"/>
      <c r="T567" s="45"/>
      <c r="U567" s="59">
        <v>698008213</v>
      </c>
      <c r="V567" s="58" t="s">
        <v>798</v>
      </c>
      <c r="W567" s="60" t="s">
        <v>79</v>
      </c>
      <c r="X567" s="58" t="s">
        <v>173</v>
      </c>
      <c r="Y567" s="61">
        <f>37793+(6*364)</f>
        <v>39977</v>
      </c>
      <c r="Z567" s="44">
        <f t="shared" ca="1" si="8"/>
        <v>15</v>
      </c>
    </row>
    <row r="568" spans="1:26" x14ac:dyDescent="0.25">
      <c r="A568" s="52" t="s">
        <v>675</v>
      </c>
      <c r="B568" s="52" t="s">
        <v>173</v>
      </c>
      <c r="C568" s="53">
        <v>18263</v>
      </c>
      <c r="D568" s="54">
        <v>122471</v>
      </c>
      <c r="K568" s="54"/>
      <c r="N568" s="62">
        <v>831004918</v>
      </c>
      <c r="O568" s="56">
        <v>9705604891</v>
      </c>
      <c r="P568" s="44" t="s">
        <v>99</v>
      </c>
      <c r="Q568" s="57">
        <v>77426</v>
      </c>
      <c r="R568" s="58" t="s">
        <v>71</v>
      </c>
      <c r="S568" s="45"/>
      <c r="T568" s="45"/>
      <c r="U568" s="59">
        <v>767000698</v>
      </c>
      <c r="V568" s="58" t="s">
        <v>799</v>
      </c>
      <c r="W568" s="60" t="s">
        <v>89</v>
      </c>
      <c r="X568" s="58" t="s">
        <v>173</v>
      </c>
      <c r="Y568" s="61">
        <f>38566+(6*364)</f>
        <v>40750</v>
      </c>
      <c r="Z568" s="44">
        <f t="shared" ca="1" si="8"/>
        <v>13</v>
      </c>
    </row>
    <row r="569" spans="1:26" x14ac:dyDescent="0.25">
      <c r="A569" s="52" t="s">
        <v>701</v>
      </c>
      <c r="B569" s="52" t="s">
        <v>173</v>
      </c>
      <c r="C569" s="53">
        <v>71905</v>
      </c>
      <c r="D569" s="54">
        <v>137788</v>
      </c>
      <c r="K569" s="54"/>
      <c r="N569" s="62">
        <v>832008459</v>
      </c>
      <c r="O569" s="56">
        <v>5052256131</v>
      </c>
      <c r="P569" s="44" t="s">
        <v>99</v>
      </c>
      <c r="Q569" s="57">
        <v>64429</v>
      </c>
      <c r="R569" s="58" t="s">
        <v>71</v>
      </c>
      <c r="S569" s="45"/>
      <c r="T569" s="45"/>
      <c r="U569" s="59">
        <v>611007637</v>
      </c>
      <c r="V569" s="58" t="s">
        <v>800</v>
      </c>
      <c r="W569" s="60" t="s">
        <v>79</v>
      </c>
      <c r="X569" s="58" t="s">
        <v>94</v>
      </c>
      <c r="Y569" s="61">
        <f>37210+(6*364)</f>
        <v>39394</v>
      </c>
      <c r="Z569" s="44">
        <f t="shared" ca="1" si="8"/>
        <v>17</v>
      </c>
    </row>
    <row r="570" spans="1:26" x14ac:dyDescent="0.25">
      <c r="A570" s="52" t="s">
        <v>702</v>
      </c>
      <c r="B570" s="52" t="s">
        <v>173</v>
      </c>
      <c r="C570" s="53">
        <v>14244</v>
      </c>
      <c r="D570" s="54">
        <v>78014</v>
      </c>
      <c r="K570" s="54"/>
      <c r="N570" s="62">
        <v>833000750</v>
      </c>
      <c r="O570" s="56">
        <v>7198294156</v>
      </c>
      <c r="P570" s="44" t="s">
        <v>92</v>
      </c>
      <c r="Q570" s="57">
        <v>115023</v>
      </c>
      <c r="R570" s="58" t="s">
        <v>77</v>
      </c>
      <c r="S570" s="45"/>
      <c r="T570" s="45"/>
      <c r="U570" s="59">
        <v>831004918</v>
      </c>
      <c r="V570" s="58" t="s">
        <v>669</v>
      </c>
      <c r="W570" s="60" t="s">
        <v>101</v>
      </c>
      <c r="X570" s="58" t="s">
        <v>80</v>
      </c>
      <c r="Y570" s="61">
        <f>37231+(6*364)</f>
        <v>39415</v>
      </c>
      <c r="Z570" s="44">
        <f t="shared" ca="1" si="8"/>
        <v>17</v>
      </c>
    </row>
    <row r="571" spans="1:26" x14ac:dyDescent="0.25">
      <c r="A571" s="52" t="s">
        <v>816</v>
      </c>
      <c r="B571" s="52" t="s">
        <v>173</v>
      </c>
      <c r="C571" s="53">
        <v>76591</v>
      </c>
      <c r="D571" s="54">
        <v>84196</v>
      </c>
      <c r="K571" s="54"/>
      <c r="N571" s="62">
        <v>833003389</v>
      </c>
      <c r="O571" s="56">
        <v>9704378387</v>
      </c>
      <c r="P571" s="44" t="s">
        <v>99</v>
      </c>
      <c r="Q571" s="57">
        <v>58243</v>
      </c>
      <c r="R571" s="58" t="s">
        <v>77</v>
      </c>
      <c r="S571" s="45"/>
      <c r="T571" s="45"/>
      <c r="U571" s="59">
        <v>155002848</v>
      </c>
      <c r="V571" s="58" t="s">
        <v>785</v>
      </c>
      <c r="W571" s="60" t="s">
        <v>154</v>
      </c>
      <c r="X571" s="58" t="s">
        <v>147</v>
      </c>
      <c r="Y571" s="61">
        <f>42457+(6*364)</f>
        <v>44641</v>
      </c>
      <c r="Z571" s="44">
        <f t="shared" ca="1" si="8"/>
        <v>2</v>
      </c>
    </row>
    <row r="572" spans="1:26" x14ac:dyDescent="0.25">
      <c r="A572" s="52" t="s">
        <v>709</v>
      </c>
      <c r="B572" s="52" t="s">
        <v>173</v>
      </c>
      <c r="C572" s="53">
        <v>74328</v>
      </c>
      <c r="D572" s="54">
        <v>91619</v>
      </c>
      <c r="K572" s="54"/>
      <c r="N572" s="62">
        <v>833007568</v>
      </c>
      <c r="O572" s="56">
        <v>9704713628</v>
      </c>
      <c r="P572" s="44" t="s">
        <v>82</v>
      </c>
      <c r="Q572" s="57">
        <v>93173</v>
      </c>
      <c r="R572" s="58" t="s">
        <v>71</v>
      </c>
      <c r="S572" s="45"/>
      <c r="T572" s="45"/>
      <c r="U572" s="59">
        <v>753004161</v>
      </c>
      <c r="V572" s="58" t="s">
        <v>801</v>
      </c>
      <c r="W572" s="60" t="s">
        <v>89</v>
      </c>
      <c r="X572" s="58" t="s">
        <v>74</v>
      </c>
      <c r="Y572" s="61">
        <f>42323+(6*364)</f>
        <v>44507</v>
      </c>
      <c r="Z572" s="44">
        <f t="shared" ca="1" si="8"/>
        <v>3</v>
      </c>
    </row>
    <row r="573" spans="1:26" x14ac:dyDescent="0.25">
      <c r="A573" s="52" t="s">
        <v>722</v>
      </c>
      <c r="B573" s="52" t="s">
        <v>173</v>
      </c>
      <c r="C573" s="53">
        <v>76700</v>
      </c>
      <c r="D573" s="54">
        <v>63372</v>
      </c>
      <c r="K573" s="54"/>
      <c r="N573" s="62">
        <v>834006980</v>
      </c>
      <c r="O573" s="56">
        <v>5053441810</v>
      </c>
      <c r="P573" s="44" t="s">
        <v>92</v>
      </c>
      <c r="Q573" s="57">
        <v>50375</v>
      </c>
      <c r="R573" s="58" t="s">
        <v>71</v>
      </c>
      <c r="S573" s="45"/>
      <c r="T573" s="45"/>
      <c r="U573" s="59">
        <v>124001120</v>
      </c>
      <c r="V573" s="58" t="s">
        <v>572</v>
      </c>
      <c r="W573" s="60" t="s">
        <v>89</v>
      </c>
      <c r="X573" s="58" t="s">
        <v>80</v>
      </c>
      <c r="Y573" s="61">
        <f>36349+(6*364)</f>
        <v>38533</v>
      </c>
      <c r="Z573" s="44">
        <f t="shared" ca="1" si="8"/>
        <v>19</v>
      </c>
    </row>
    <row r="574" spans="1:26" x14ac:dyDescent="0.25">
      <c r="A574" s="52" t="s">
        <v>744</v>
      </c>
      <c r="B574" s="52" t="s">
        <v>173</v>
      </c>
      <c r="C574" s="53">
        <v>23507</v>
      </c>
      <c r="D574" s="54">
        <v>107322</v>
      </c>
      <c r="K574" s="54"/>
      <c r="N574" s="62">
        <v>835009408</v>
      </c>
      <c r="O574" s="56">
        <v>5056742736</v>
      </c>
      <c r="P574" s="44" t="s">
        <v>70</v>
      </c>
      <c r="Q574" s="57">
        <v>36030</v>
      </c>
      <c r="R574" s="58" t="s">
        <v>77</v>
      </c>
      <c r="S574" s="45"/>
      <c r="T574" s="45"/>
      <c r="U574" s="59">
        <v>798000482</v>
      </c>
      <c r="V574" s="58" t="s">
        <v>166</v>
      </c>
      <c r="W574" s="60" t="s">
        <v>79</v>
      </c>
      <c r="X574" s="58" t="s">
        <v>94</v>
      </c>
      <c r="Y574" s="61">
        <f>42334+(6*364)</f>
        <v>44518</v>
      </c>
      <c r="Z574" s="44">
        <f t="shared" ca="1" si="8"/>
        <v>3</v>
      </c>
    </row>
    <row r="575" spans="1:26" x14ac:dyDescent="0.25">
      <c r="A575" s="52" t="s">
        <v>817</v>
      </c>
      <c r="B575" s="52" t="s">
        <v>173</v>
      </c>
      <c r="C575" s="53">
        <v>36768</v>
      </c>
      <c r="D575" s="54">
        <v>104148</v>
      </c>
      <c r="K575" s="54"/>
      <c r="N575" s="62">
        <v>837005769</v>
      </c>
      <c r="O575" s="56">
        <v>9703077504</v>
      </c>
      <c r="P575" s="44"/>
      <c r="Q575" s="57">
        <v>63705</v>
      </c>
      <c r="R575" s="58" t="s">
        <v>87</v>
      </c>
      <c r="S575" s="45"/>
      <c r="T575" s="45"/>
      <c r="U575" s="59">
        <v>917009993</v>
      </c>
      <c r="V575" s="58" t="s">
        <v>574</v>
      </c>
      <c r="W575" s="60" t="s">
        <v>73</v>
      </c>
      <c r="X575" s="58" t="s">
        <v>74</v>
      </c>
      <c r="Y575" s="61">
        <f>36679+(6*364)</f>
        <v>38863</v>
      </c>
      <c r="Z575" s="44">
        <f t="shared" ca="1" si="8"/>
        <v>18</v>
      </c>
    </row>
    <row r="576" spans="1:26" x14ac:dyDescent="0.25">
      <c r="A576" s="52" t="s">
        <v>746</v>
      </c>
      <c r="B576" s="52" t="s">
        <v>173</v>
      </c>
      <c r="C576" s="53">
        <v>95633</v>
      </c>
      <c r="D576" s="54">
        <v>95097</v>
      </c>
      <c r="K576" s="54"/>
      <c r="N576" s="62">
        <v>839002637</v>
      </c>
      <c r="O576" s="56">
        <v>9705866887</v>
      </c>
      <c r="P576" s="44"/>
      <c r="Q576" s="57">
        <v>79330</v>
      </c>
      <c r="R576" s="58" t="s">
        <v>87</v>
      </c>
      <c r="S576" s="45"/>
      <c r="T576" s="45"/>
      <c r="U576" s="59">
        <v>144003347</v>
      </c>
      <c r="V576" s="58" t="s">
        <v>802</v>
      </c>
      <c r="W576" s="60" t="s">
        <v>101</v>
      </c>
      <c r="X576" s="58" t="s">
        <v>90</v>
      </c>
      <c r="Y576" s="61">
        <f>38122+(6*364)</f>
        <v>40306</v>
      </c>
      <c r="Z576" s="44">
        <f t="shared" ca="1" si="8"/>
        <v>14</v>
      </c>
    </row>
    <row r="577" spans="1:26" x14ac:dyDescent="0.25">
      <c r="A577" s="52" t="s">
        <v>18</v>
      </c>
      <c r="B577" s="52" t="s">
        <v>173</v>
      </c>
      <c r="C577" s="53">
        <v>92778</v>
      </c>
      <c r="D577" s="54">
        <v>73385</v>
      </c>
      <c r="K577" s="54"/>
      <c r="N577" s="62">
        <v>843000810</v>
      </c>
      <c r="O577" s="56">
        <v>5052238881</v>
      </c>
      <c r="P577" s="44" t="s">
        <v>70</v>
      </c>
      <c r="Q577" s="57">
        <v>112969</v>
      </c>
      <c r="R577" s="58" t="s">
        <v>77</v>
      </c>
      <c r="S577" s="45"/>
      <c r="T577" s="45"/>
      <c r="U577" s="59">
        <v>469000778</v>
      </c>
      <c r="V577" s="58" t="s">
        <v>803</v>
      </c>
      <c r="W577" s="60" t="s">
        <v>73</v>
      </c>
      <c r="X577" s="58" t="s">
        <v>80</v>
      </c>
      <c r="Y577" s="61">
        <f>36749+(6*364)</f>
        <v>38933</v>
      </c>
      <c r="Z577" s="44">
        <f t="shared" ca="1" si="8"/>
        <v>18</v>
      </c>
    </row>
    <row r="578" spans="1:26" x14ac:dyDescent="0.25">
      <c r="A578" s="52" t="s">
        <v>755</v>
      </c>
      <c r="B578" s="52" t="s">
        <v>173</v>
      </c>
      <c r="C578" s="53">
        <v>87500</v>
      </c>
      <c r="D578" s="54">
        <v>75523</v>
      </c>
      <c r="K578" s="54"/>
      <c r="N578" s="62">
        <v>845000075</v>
      </c>
      <c r="O578" s="56">
        <v>7196026842</v>
      </c>
      <c r="P578" s="44" t="s">
        <v>92</v>
      </c>
      <c r="Q578" s="57">
        <v>71780</v>
      </c>
      <c r="R578" s="58" t="s">
        <v>71</v>
      </c>
      <c r="S578" s="45"/>
      <c r="T578" s="45"/>
      <c r="U578" s="59">
        <v>360004402</v>
      </c>
      <c r="V578" s="58" t="s">
        <v>670</v>
      </c>
      <c r="W578" s="60" t="s">
        <v>154</v>
      </c>
      <c r="X578" s="58" t="s">
        <v>356</v>
      </c>
      <c r="Y578" s="61">
        <f>38597+(6*364)</f>
        <v>40781</v>
      </c>
      <c r="Z578" s="44">
        <f t="shared" ref="Z578:Z641" ca="1" si="9">DATEDIF(Y578,TODAY(),"Y")</f>
        <v>13</v>
      </c>
    </row>
    <row r="579" spans="1:26" x14ac:dyDescent="0.25">
      <c r="A579" s="52" t="s">
        <v>767</v>
      </c>
      <c r="B579" s="52" t="s">
        <v>173</v>
      </c>
      <c r="C579" s="53">
        <v>12454</v>
      </c>
      <c r="D579" s="54">
        <v>86423</v>
      </c>
      <c r="K579" s="54"/>
      <c r="N579" s="62">
        <v>846007053</v>
      </c>
      <c r="O579" s="56">
        <v>9704888110</v>
      </c>
      <c r="P579" s="44" t="s">
        <v>82</v>
      </c>
      <c r="Q579" s="57">
        <v>90230</v>
      </c>
      <c r="R579" s="58" t="s">
        <v>71</v>
      </c>
      <c r="S579" s="45"/>
      <c r="T579" s="45"/>
      <c r="U579" s="59">
        <v>674004159</v>
      </c>
      <c r="V579" s="58" t="s">
        <v>805</v>
      </c>
      <c r="W579" s="60" t="s">
        <v>101</v>
      </c>
      <c r="X579" s="58" t="s">
        <v>90</v>
      </c>
      <c r="Y579" s="61">
        <f>40836+(6*364)</f>
        <v>43020</v>
      </c>
      <c r="Z579" s="44">
        <f t="shared" ca="1" si="9"/>
        <v>7</v>
      </c>
    </row>
    <row r="580" spans="1:26" x14ac:dyDescent="0.25">
      <c r="A580" s="52" t="s">
        <v>770</v>
      </c>
      <c r="B580" s="52" t="s">
        <v>173</v>
      </c>
      <c r="C580" s="53">
        <v>16741</v>
      </c>
      <c r="D580" s="54">
        <v>76834</v>
      </c>
      <c r="K580" s="54"/>
      <c r="N580" s="62">
        <v>846009936</v>
      </c>
      <c r="O580" s="56">
        <v>9708721709</v>
      </c>
      <c r="P580" s="44" t="s">
        <v>92</v>
      </c>
      <c r="Q580" s="57">
        <v>105225</v>
      </c>
      <c r="R580" s="58" t="s">
        <v>71</v>
      </c>
      <c r="S580" s="45"/>
      <c r="T580" s="45"/>
      <c r="U580" s="59">
        <v>174008010</v>
      </c>
      <c r="V580" s="58" t="s">
        <v>348</v>
      </c>
      <c r="W580" s="60" t="s">
        <v>84</v>
      </c>
      <c r="X580" s="58" t="s">
        <v>90</v>
      </c>
      <c r="Y580" s="61">
        <f>37284+(6*364)</f>
        <v>39468</v>
      </c>
      <c r="Z580" s="44">
        <f t="shared" ca="1" si="9"/>
        <v>17</v>
      </c>
    </row>
    <row r="581" spans="1:26" x14ac:dyDescent="0.25">
      <c r="A581" s="52" t="s">
        <v>771</v>
      </c>
      <c r="B581" s="52" t="s">
        <v>173</v>
      </c>
      <c r="C581" s="53">
        <v>46695</v>
      </c>
      <c r="D581" s="54">
        <v>65527</v>
      </c>
      <c r="K581" s="54"/>
      <c r="N581" s="62">
        <v>848001738</v>
      </c>
      <c r="O581" s="56">
        <v>3035511103</v>
      </c>
      <c r="P581" s="44" t="s">
        <v>92</v>
      </c>
      <c r="Q581" s="57">
        <v>108525</v>
      </c>
      <c r="R581" s="58" t="s">
        <v>71</v>
      </c>
      <c r="S581" s="45"/>
      <c r="T581" s="45"/>
      <c r="U581" s="59">
        <v>144004265</v>
      </c>
      <c r="V581" s="58" t="s">
        <v>806</v>
      </c>
      <c r="W581" s="60" t="s">
        <v>84</v>
      </c>
      <c r="X581" s="58" t="s">
        <v>90</v>
      </c>
      <c r="Y581" s="61">
        <f>39860+(6*364)</f>
        <v>42044</v>
      </c>
      <c r="Z581" s="44">
        <f t="shared" ca="1" si="9"/>
        <v>10</v>
      </c>
    </row>
    <row r="582" spans="1:26" x14ac:dyDescent="0.25">
      <c r="A582" s="52" t="s">
        <v>774</v>
      </c>
      <c r="B582" s="52" t="s">
        <v>173</v>
      </c>
      <c r="C582" s="53">
        <v>60425</v>
      </c>
      <c r="D582" s="54">
        <v>47475</v>
      </c>
      <c r="K582" s="54"/>
      <c r="N582" s="62">
        <v>851006352</v>
      </c>
      <c r="O582" s="56">
        <v>9704100997</v>
      </c>
      <c r="P582" s="44" t="s">
        <v>99</v>
      </c>
      <c r="Q582" s="57">
        <v>80431</v>
      </c>
      <c r="R582" s="58" t="s">
        <v>71</v>
      </c>
      <c r="S582" s="45"/>
      <c r="T582" s="45"/>
      <c r="U582" s="59">
        <v>400003641</v>
      </c>
      <c r="V582" s="58" t="s">
        <v>575</v>
      </c>
      <c r="W582" s="60" t="s">
        <v>84</v>
      </c>
      <c r="X582" s="58" t="s">
        <v>80</v>
      </c>
      <c r="Y582" s="61">
        <f>37221+(6*364)</f>
        <v>39405</v>
      </c>
      <c r="Z582" s="44">
        <f t="shared" ca="1" si="9"/>
        <v>17</v>
      </c>
    </row>
    <row r="583" spans="1:26" x14ac:dyDescent="0.25">
      <c r="A583" s="52" t="s">
        <v>776</v>
      </c>
      <c r="B583" s="52" t="s">
        <v>173</v>
      </c>
      <c r="C583" s="53">
        <v>30124</v>
      </c>
      <c r="D583" s="54">
        <v>35602</v>
      </c>
      <c r="K583" s="54"/>
      <c r="N583" s="62">
        <v>852002029</v>
      </c>
      <c r="O583" s="56">
        <v>3033046338</v>
      </c>
      <c r="P583" s="44" t="s">
        <v>99</v>
      </c>
      <c r="Q583" s="57">
        <v>39937</v>
      </c>
      <c r="R583" s="58" t="s">
        <v>71</v>
      </c>
      <c r="S583" s="45"/>
      <c r="T583" s="45"/>
      <c r="U583" s="59">
        <v>430006440</v>
      </c>
      <c r="V583" s="58" t="s">
        <v>750</v>
      </c>
      <c r="W583" s="60" t="s">
        <v>73</v>
      </c>
      <c r="X583" s="58" t="s">
        <v>80</v>
      </c>
      <c r="Y583" s="61">
        <f>37061+(6*364)</f>
        <v>39245</v>
      </c>
      <c r="Z583" s="44">
        <f t="shared" ca="1" si="9"/>
        <v>17</v>
      </c>
    </row>
    <row r="584" spans="1:26" x14ac:dyDescent="0.25">
      <c r="A584" s="52" t="s">
        <v>793</v>
      </c>
      <c r="B584" s="52" t="s">
        <v>173</v>
      </c>
      <c r="C584" s="53">
        <v>35260</v>
      </c>
      <c r="D584" s="54">
        <v>119779</v>
      </c>
      <c r="K584" s="54"/>
      <c r="N584" s="62">
        <v>854005158</v>
      </c>
      <c r="O584" s="56">
        <v>3032229885</v>
      </c>
      <c r="P584" s="44"/>
      <c r="Q584" s="57">
        <v>71166</v>
      </c>
      <c r="R584" s="58" t="s">
        <v>87</v>
      </c>
      <c r="S584" s="45"/>
      <c r="T584" s="45"/>
      <c r="U584" s="59">
        <v>374001808</v>
      </c>
      <c r="V584" s="58" t="s">
        <v>807</v>
      </c>
      <c r="W584" s="60" t="s">
        <v>79</v>
      </c>
      <c r="X584" s="58" t="s">
        <v>90</v>
      </c>
      <c r="Y584" s="61">
        <f>38622+(6*364)</f>
        <v>40806</v>
      </c>
      <c r="Z584" s="44">
        <f t="shared" ca="1" si="9"/>
        <v>13</v>
      </c>
    </row>
    <row r="585" spans="1:26" x14ac:dyDescent="0.25">
      <c r="A585" s="52" t="s">
        <v>799</v>
      </c>
      <c r="B585" s="52" t="s">
        <v>173</v>
      </c>
      <c r="C585" s="53">
        <v>11431</v>
      </c>
      <c r="D585" s="54">
        <v>74695</v>
      </c>
      <c r="K585" s="54"/>
      <c r="N585" s="62">
        <v>855009205</v>
      </c>
      <c r="O585" s="56">
        <v>9703383207</v>
      </c>
      <c r="P585" s="44" t="s">
        <v>76</v>
      </c>
      <c r="Q585" s="57">
        <v>122780</v>
      </c>
      <c r="R585" s="58" t="s">
        <v>77</v>
      </c>
      <c r="S585" s="45"/>
      <c r="T585" s="45"/>
      <c r="U585" s="59">
        <v>346004747</v>
      </c>
      <c r="V585" s="58" t="s">
        <v>735</v>
      </c>
      <c r="W585" s="60" t="s">
        <v>79</v>
      </c>
      <c r="X585" s="58" t="s">
        <v>19</v>
      </c>
      <c r="Y585" s="61">
        <f>38095+(6*364)</f>
        <v>40279</v>
      </c>
      <c r="Z585" s="44">
        <f t="shared" ca="1" si="9"/>
        <v>14</v>
      </c>
    </row>
    <row r="586" spans="1:26" x14ac:dyDescent="0.25">
      <c r="A586" s="52" t="s">
        <v>800</v>
      </c>
      <c r="B586" s="52" t="s">
        <v>173</v>
      </c>
      <c r="C586" s="53">
        <v>37676</v>
      </c>
      <c r="D586" s="54">
        <v>126663</v>
      </c>
      <c r="K586" s="54"/>
      <c r="N586" s="62">
        <v>856003663</v>
      </c>
      <c r="O586" s="56">
        <v>3036114005</v>
      </c>
      <c r="P586" s="44" t="s">
        <v>76</v>
      </c>
      <c r="Q586" s="57">
        <v>87363</v>
      </c>
      <c r="R586" s="58" t="s">
        <v>71</v>
      </c>
      <c r="S586" s="45"/>
      <c r="T586" s="45"/>
      <c r="U586" s="59">
        <v>505004105</v>
      </c>
      <c r="V586" s="58" t="s">
        <v>261</v>
      </c>
      <c r="W586" s="60" t="s">
        <v>73</v>
      </c>
      <c r="X586" s="58" t="s">
        <v>90</v>
      </c>
      <c r="Y586" s="61">
        <f>39558+(6*364)</f>
        <v>41742</v>
      </c>
      <c r="Z586" s="44">
        <f t="shared" ca="1" si="9"/>
        <v>10</v>
      </c>
    </row>
    <row r="587" spans="1:26" x14ac:dyDescent="0.25">
      <c r="A587" s="52" t="s">
        <v>801</v>
      </c>
      <c r="B587" s="52" t="s">
        <v>173</v>
      </c>
      <c r="C587" s="53">
        <v>92568</v>
      </c>
      <c r="D587" s="54">
        <v>63924</v>
      </c>
      <c r="K587" s="54"/>
      <c r="N587" s="62">
        <v>856007520</v>
      </c>
      <c r="O587" s="56">
        <v>7192224790</v>
      </c>
      <c r="P587" s="44"/>
      <c r="Q587" s="57">
        <v>89021</v>
      </c>
      <c r="R587" s="58" t="s">
        <v>87</v>
      </c>
      <c r="S587" s="45"/>
      <c r="T587" s="45"/>
      <c r="U587" s="59">
        <v>198003387</v>
      </c>
      <c r="V587" s="58" t="s">
        <v>808</v>
      </c>
      <c r="W587" s="60" t="s">
        <v>79</v>
      </c>
      <c r="X587" s="58" t="s">
        <v>90</v>
      </c>
      <c r="Y587" s="61">
        <f>41746+(6*364)</f>
        <v>43930</v>
      </c>
      <c r="Z587" s="44">
        <f t="shared" ca="1" si="9"/>
        <v>4</v>
      </c>
    </row>
    <row r="588" spans="1:26" x14ac:dyDescent="0.25">
      <c r="A588" s="52" t="s">
        <v>803</v>
      </c>
      <c r="B588" s="52" t="s">
        <v>173</v>
      </c>
      <c r="C588" s="53">
        <v>38299</v>
      </c>
      <c r="D588" s="54">
        <v>65418</v>
      </c>
      <c r="K588" s="54"/>
      <c r="N588" s="62">
        <v>859009853</v>
      </c>
      <c r="O588" s="56">
        <v>5053695179</v>
      </c>
      <c r="P588" s="44" t="s">
        <v>82</v>
      </c>
      <c r="Q588" s="57">
        <v>71360</v>
      </c>
      <c r="R588" s="58" t="s">
        <v>71</v>
      </c>
      <c r="S588" s="45"/>
      <c r="T588" s="45"/>
      <c r="U588" s="59">
        <v>846007053</v>
      </c>
      <c r="V588" s="58" t="s">
        <v>809</v>
      </c>
      <c r="W588" s="60" t="s">
        <v>73</v>
      </c>
      <c r="X588" s="58" t="s">
        <v>90</v>
      </c>
      <c r="Y588" s="61">
        <f>39790+(6*364)</f>
        <v>41974</v>
      </c>
      <c r="Z588" s="44">
        <f t="shared" ca="1" si="9"/>
        <v>10</v>
      </c>
    </row>
    <row r="589" spans="1:26" x14ac:dyDescent="0.25">
      <c r="A589" s="52" t="s">
        <v>813</v>
      </c>
      <c r="B589" s="52" t="s">
        <v>173</v>
      </c>
      <c r="C589" s="53">
        <v>56576</v>
      </c>
      <c r="D589" s="54">
        <v>77547</v>
      </c>
      <c r="K589" s="54"/>
      <c r="N589" s="62">
        <v>862003795</v>
      </c>
      <c r="O589" s="56">
        <v>9706456972</v>
      </c>
      <c r="P589" s="44" t="s">
        <v>99</v>
      </c>
      <c r="Q589" s="57">
        <v>62284</v>
      </c>
      <c r="R589" s="58" t="s">
        <v>71</v>
      </c>
      <c r="S589" s="45"/>
      <c r="T589" s="45"/>
      <c r="U589" s="59">
        <v>579008837</v>
      </c>
      <c r="V589" s="58" t="s">
        <v>393</v>
      </c>
      <c r="W589" s="60" t="s">
        <v>73</v>
      </c>
      <c r="X589" s="58" t="s">
        <v>90</v>
      </c>
      <c r="Y589" s="61">
        <f>40245+(6*364)</f>
        <v>42429</v>
      </c>
      <c r="Z589" s="44">
        <f t="shared" ca="1" si="9"/>
        <v>8</v>
      </c>
    </row>
    <row r="590" spans="1:26" x14ac:dyDescent="0.25">
      <c r="A590" s="52" t="s">
        <v>822</v>
      </c>
      <c r="B590" s="52" t="s">
        <v>173</v>
      </c>
      <c r="C590" s="53">
        <v>67561</v>
      </c>
      <c r="D590" s="54">
        <v>100613</v>
      </c>
      <c r="K590" s="54"/>
      <c r="N590" s="62">
        <v>862006869</v>
      </c>
      <c r="O590" s="56">
        <v>5052921836</v>
      </c>
      <c r="P590" s="44" t="s">
        <v>99</v>
      </c>
      <c r="Q590" s="57">
        <v>124983</v>
      </c>
      <c r="R590" s="58" t="s">
        <v>71</v>
      </c>
      <c r="S590" s="45"/>
      <c r="T590" s="45"/>
      <c r="U590" s="59">
        <v>923009559</v>
      </c>
      <c r="V590" s="58" t="s">
        <v>811</v>
      </c>
      <c r="W590" s="60" t="s">
        <v>73</v>
      </c>
      <c r="X590" s="58" t="s">
        <v>90</v>
      </c>
      <c r="Y590" s="61">
        <f>40431+(6*364)</f>
        <v>42615</v>
      </c>
      <c r="Z590" s="44">
        <f t="shared" ca="1" si="9"/>
        <v>8</v>
      </c>
    </row>
    <row r="591" spans="1:26" x14ac:dyDescent="0.25">
      <c r="A591" s="52" t="s">
        <v>823</v>
      </c>
      <c r="B591" s="52" t="s">
        <v>173</v>
      </c>
      <c r="C591" s="53">
        <v>80842</v>
      </c>
      <c r="D591" s="54">
        <v>71312</v>
      </c>
      <c r="K591" s="54"/>
      <c r="N591" s="62">
        <v>864003796</v>
      </c>
      <c r="O591" s="56">
        <v>7193552027</v>
      </c>
      <c r="P591" s="44" t="s">
        <v>99</v>
      </c>
      <c r="Q591" s="57">
        <v>61811</v>
      </c>
      <c r="R591" s="58" t="s">
        <v>77</v>
      </c>
      <c r="S591" s="45"/>
      <c r="T591" s="45"/>
      <c r="U591" s="59">
        <v>727004619</v>
      </c>
      <c r="V591" s="58" t="s">
        <v>263</v>
      </c>
      <c r="W591" s="60" t="s">
        <v>79</v>
      </c>
      <c r="X591" s="58" t="s">
        <v>205</v>
      </c>
      <c r="Y591" s="61">
        <f>35084+(6*364)</f>
        <v>37268</v>
      </c>
      <c r="Z591" s="44">
        <f t="shared" ca="1" si="9"/>
        <v>23</v>
      </c>
    </row>
    <row r="592" spans="1:26" x14ac:dyDescent="0.25">
      <c r="A592" s="52" t="s">
        <v>824</v>
      </c>
      <c r="B592" s="52" t="s">
        <v>173</v>
      </c>
      <c r="C592" s="53">
        <v>83124</v>
      </c>
      <c r="D592" s="54">
        <v>128438</v>
      </c>
      <c r="K592" s="54"/>
      <c r="N592" s="62">
        <v>866003432</v>
      </c>
      <c r="O592" s="56">
        <v>5054084456</v>
      </c>
      <c r="P592" s="44" t="s">
        <v>99</v>
      </c>
      <c r="Q592" s="57">
        <v>119926</v>
      </c>
      <c r="R592" s="58" t="s">
        <v>71</v>
      </c>
      <c r="S592" s="45"/>
      <c r="T592" s="45"/>
      <c r="U592" s="59">
        <v>178005958</v>
      </c>
      <c r="V592" s="58" t="s">
        <v>812</v>
      </c>
      <c r="W592" s="60" t="s">
        <v>154</v>
      </c>
      <c r="X592" s="58" t="s">
        <v>94</v>
      </c>
      <c r="Y592" s="61">
        <f>37750+(6*364)</f>
        <v>39934</v>
      </c>
      <c r="Z592" s="44">
        <f t="shared" ca="1" si="9"/>
        <v>15</v>
      </c>
    </row>
    <row r="593" spans="1:26" x14ac:dyDescent="0.25">
      <c r="A593" s="52" t="s">
        <v>825</v>
      </c>
      <c r="B593" s="52" t="s">
        <v>173</v>
      </c>
      <c r="C593" s="53">
        <v>54518</v>
      </c>
      <c r="D593" s="54">
        <v>131669</v>
      </c>
      <c r="K593" s="54"/>
      <c r="N593" s="62">
        <v>866009369</v>
      </c>
      <c r="O593" s="56">
        <v>7192416398</v>
      </c>
      <c r="P593" s="44" t="s">
        <v>92</v>
      </c>
      <c r="Q593" s="57">
        <v>54764</v>
      </c>
      <c r="R593" s="58" t="s">
        <v>77</v>
      </c>
      <c r="S593" s="45"/>
      <c r="T593" s="45"/>
      <c r="U593" s="59">
        <v>148004991</v>
      </c>
      <c r="V593" s="58" t="s">
        <v>576</v>
      </c>
      <c r="W593" s="60" t="s">
        <v>89</v>
      </c>
      <c r="X593" s="58" t="s">
        <v>356</v>
      </c>
      <c r="Y593" s="61">
        <f>38443+(6*364)</f>
        <v>40627</v>
      </c>
      <c r="Z593" s="44">
        <f t="shared" ca="1" si="9"/>
        <v>13</v>
      </c>
    </row>
    <row r="594" spans="1:26" x14ac:dyDescent="0.25">
      <c r="A594" s="52" t="s">
        <v>826</v>
      </c>
      <c r="B594" s="52" t="s">
        <v>173</v>
      </c>
      <c r="C594" s="53">
        <v>69472</v>
      </c>
      <c r="D594" s="54">
        <v>113667</v>
      </c>
      <c r="K594" s="54"/>
      <c r="N594" s="62">
        <v>870003549</v>
      </c>
      <c r="O594" s="56">
        <v>5057429525</v>
      </c>
      <c r="P594" s="44" t="s">
        <v>99</v>
      </c>
      <c r="Q594" s="57">
        <v>48171</v>
      </c>
      <c r="R594" s="58" t="s">
        <v>71</v>
      </c>
      <c r="S594" s="45"/>
      <c r="T594" s="45"/>
      <c r="U594" s="59">
        <v>152000265</v>
      </c>
      <c r="V594" s="58" t="s">
        <v>693</v>
      </c>
      <c r="W594" s="60" t="s">
        <v>89</v>
      </c>
      <c r="X594" s="58" t="s">
        <v>205</v>
      </c>
      <c r="Y594" s="61">
        <f>35384+(6*364)</f>
        <v>37568</v>
      </c>
      <c r="Z594" s="44">
        <f t="shared" ca="1" si="9"/>
        <v>22</v>
      </c>
    </row>
    <row r="595" spans="1:26" x14ac:dyDescent="0.25">
      <c r="A595" s="52" t="s">
        <v>827</v>
      </c>
      <c r="B595" s="52" t="s">
        <v>173</v>
      </c>
      <c r="C595" s="53">
        <v>36703</v>
      </c>
      <c r="D595" s="54">
        <v>70067</v>
      </c>
      <c r="K595" s="54"/>
      <c r="N595" s="62">
        <v>872007472</v>
      </c>
      <c r="O595" s="56">
        <v>3031124357</v>
      </c>
      <c r="P595" s="44" t="s">
        <v>92</v>
      </c>
      <c r="Q595" s="57">
        <v>48580</v>
      </c>
      <c r="R595" s="58" t="s">
        <v>77</v>
      </c>
      <c r="S595" s="45"/>
      <c r="T595" s="45"/>
      <c r="U595" s="59">
        <v>852002029</v>
      </c>
      <c r="V595" s="58" t="s">
        <v>395</v>
      </c>
      <c r="W595" s="60" t="s">
        <v>73</v>
      </c>
      <c r="X595" s="58" t="s">
        <v>173</v>
      </c>
      <c r="Y595" s="61">
        <f>35146+(6*364)</f>
        <v>37330</v>
      </c>
      <c r="Z595" s="44">
        <f t="shared" ca="1" si="9"/>
        <v>22</v>
      </c>
    </row>
    <row r="596" spans="1:26" x14ac:dyDescent="0.25">
      <c r="A596" s="52" t="s">
        <v>828</v>
      </c>
      <c r="B596" s="52" t="s">
        <v>173</v>
      </c>
      <c r="C596" s="53">
        <v>94284</v>
      </c>
      <c r="D596" s="54">
        <v>69658</v>
      </c>
      <c r="K596" s="54"/>
      <c r="N596" s="62">
        <v>875001781</v>
      </c>
      <c r="O596" s="56">
        <v>7191240785</v>
      </c>
      <c r="P596" s="44" t="s">
        <v>92</v>
      </c>
      <c r="Q596" s="57">
        <v>51727</v>
      </c>
      <c r="R596" s="58" t="s">
        <v>71</v>
      </c>
      <c r="S596" s="45"/>
      <c r="T596" s="45"/>
      <c r="U596" s="59">
        <v>978000272</v>
      </c>
      <c r="V596" s="58" t="s">
        <v>813</v>
      </c>
      <c r="W596" s="60" t="s">
        <v>154</v>
      </c>
      <c r="X596" s="58" t="s">
        <v>159</v>
      </c>
      <c r="Y596" s="61">
        <f>39591+(6*364)</f>
        <v>41775</v>
      </c>
      <c r="Z596" s="44">
        <f t="shared" ca="1" si="9"/>
        <v>10</v>
      </c>
    </row>
    <row r="597" spans="1:26" x14ac:dyDescent="0.25">
      <c r="A597" s="52" t="s">
        <v>829</v>
      </c>
      <c r="B597" s="52" t="s">
        <v>173</v>
      </c>
      <c r="C597" s="53">
        <v>37342</v>
      </c>
      <c r="D597" s="54">
        <v>65681</v>
      </c>
      <c r="K597" s="54"/>
      <c r="N597" s="62">
        <v>875002295</v>
      </c>
      <c r="O597" s="56">
        <v>3032822520</v>
      </c>
      <c r="P597" s="44" t="s">
        <v>92</v>
      </c>
      <c r="Q597" s="57">
        <v>67897</v>
      </c>
      <c r="R597" s="58" t="s">
        <v>71</v>
      </c>
      <c r="S597" s="45"/>
      <c r="T597" s="45"/>
      <c r="U597" s="59">
        <v>564006804</v>
      </c>
      <c r="V597" s="58" t="s">
        <v>814</v>
      </c>
      <c r="W597" s="60" t="s">
        <v>101</v>
      </c>
      <c r="X597" s="58" t="s">
        <v>159</v>
      </c>
      <c r="Y597" s="61">
        <f>35169+(6*364)</f>
        <v>37353</v>
      </c>
      <c r="Z597" s="44">
        <f t="shared" ca="1" si="9"/>
        <v>22</v>
      </c>
    </row>
    <row r="598" spans="1:26" x14ac:dyDescent="0.25">
      <c r="A598" s="52" t="s">
        <v>830</v>
      </c>
      <c r="B598" s="52" t="s">
        <v>173</v>
      </c>
      <c r="C598" s="53">
        <v>42799</v>
      </c>
      <c r="D598" s="54">
        <v>111484</v>
      </c>
      <c r="K598" s="54"/>
      <c r="N598" s="62">
        <v>876006698</v>
      </c>
      <c r="O598" s="56">
        <v>5056345909</v>
      </c>
      <c r="P598" s="44" t="s">
        <v>70</v>
      </c>
      <c r="Q598" s="57">
        <v>70487</v>
      </c>
      <c r="R598" s="58" t="s">
        <v>77</v>
      </c>
      <c r="S598" s="45"/>
      <c r="T598" s="45"/>
      <c r="U598" s="59">
        <v>532009702</v>
      </c>
      <c r="V598" s="58" t="s">
        <v>397</v>
      </c>
      <c r="W598" s="60" t="s">
        <v>89</v>
      </c>
      <c r="X598" s="58" t="s">
        <v>90</v>
      </c>
      <c r="Y598" s="61">
        <f>36075+(6*364)</f>
        <v>38259</v>
      </c>
      <c r="Z598" s="44">
        <f t="shared" ca="1" si="9"/>
        <v>20</v>
      </c>
    </row>
    <row r="599" spans="1:26" x14ac:dyDescent="0.25">
      <c r="A599" s="52" t="s">
        <v>831</v>
      </c>
      <c r="B599" s="52" t="s">
        <v>173</v>
      </c>
      <c r="C599" s="53">
        <v>52329</v>
      </c>
      <c r="D599" s="54">
        <v>52277</v>
      </c>
      <c r="K599" s="54"/>
      <c r="N599" s="62">
        <v>877008862</v>
      </c>
      <c r="O599" s="56">
        <v>3038317543</v>
      </c>
      <c r="P599" s="44" t="s">
        <v>99</v>
      </c>
      <c r="Q599" s="57">
        <v>75699</v>
      </c>
      <c r="R599" s="58" t="s">
        <v>77</v>
      </c>
      <c r="S599" s="45"/>
      <c r="T599" s="45"/>
      <c r="U599" s="59">
        <v>779008913</v>
      </c>
      <c r="V599" s="58" t="s">
        <v>672</v>
      </c>
      <c r="W599" s="60" t="s">
        <v>79</v>
      </c>
      <c r="X599" s="58" t="s">
        <v>85</v>
      </c>
      <c r="Y599" s="61">
        <f>37144+(6*364)</f>
        <v>39328</v>
      </c>
      <c r="Z599" s="44">
        <f t="shared" ca="1" si="9"/>
        <v>17</v>
      </c>
    </row>
    <row r="600" spans="1:26" x14ac:dyDescent="0.25">
      <c r="A600" s="52" t="s">
        <v>832</v>
      </c>
      <c r="B600" s="52" t="s">
        <v>173</v>
      </c>
      <c r="C600" s="53">
        <v>35673</v>
      </c>
      <c r="D600" s="54">
        <v>48762</v>
      </c>
      <c r="K600" s="54"/>
      <c r="N600" s="62">
        <v>880003642</v>
      </c>
      <c r="O600" s="56">
        <v>9702447501</v>
      </c>
      <c r="P600" s="44" t="s">
        <v>82</v>
      </c>
      <c r="Q600" s="57">
        <v>111236</v>
      </c>
      <c r="R600" s="58" t="s">
        <v>71</v>
      </c>
      <c r="S600" s="45"/>
      <c r="T600" s="45"/>
      <c r="U600" s="59">
        <v>371001313</v>
      </c>
      <c r="V600" s="58" t="s">
        <v>736</v>
      </c>
      <c r="W600" s="60" t="s">
        <v>89</v>
      </c>
      <c r="X600" s="58" t="s">
        <v>524</v>
      </c>
      <c r="Y600" s="61">
        <f>42643+(6*364)</f>
        <v>44827</v>
      </c>
      <c r="Z600" s="44">
        <f t="shared" ca="1" si="9"/>
        <v>2</v>
      </c>
    </row>
    <row r="601" spans="1:26" x14ac:dyDescent="0.25">
      <c r="A601" s="52" t="s">
        <v>833</v>
      </c>
      <c r="B601" s="52" t="s">
        <v>173</v>
      </c>
      <c r="C601" s="53">
        <v>61532</v>
      </c>
      <c r="D601" s="54">
        <v>123417</v>
      </c>
      <c r="K601" s="54"/>
      <c r="N601" s="55">
        <v>881000759</v>
      </c>
      <c r="O601" s="56">
        <v>5055157047</v>
      </c>
      <c r="P601" s="44"/>
      <c r="Q601" s="57">
        <v>86758</v>
      </c>
      <c r="R601" s="58" t="s">
        <v>87</v>
      </c>
      <c r="S601" s="45"/>
      <c r="T601" s="45"/>
      <c r="U601" s="59">
        <v>621007303</v>
      </c>
      <c r="V601" s="58" t="s">
        <v>399</v>
      </c>
      <c r="W601" s="60" t="s">
        <v>73</v>
      </c>
      <c r="X601" s="58" t="s">
        <v>173</v>
      </c>
      <c r="Y601" s="61">
        <f>40826+(6*364)</f>
        <v>43010</v>
      </c>
      <c r="Z601" s="44">
        <f t="shared" ca="1" si="9"/>
        <v>7</v>
      </c>
    </row>
    <row r="602" spans="1:26" x14ac:dyDescent="0.25">
      <c r="A602" s="52" t="s">
        <v>134</v>
      </c>
      <c r="B602" s="52" t="s">
        <v>80</v>
      </c>
      <c r="C602" s="53">
        <v>13405</v>
      </c>
      <c r="D602" s="54">
        <v>52605</v>
      </c>
      <c r="K602" s="54"/>
      <c r="N602" s="55">
        <v>881002274</v>
      </c>
      <c r="O602" s="56">
        <v>3035821616</v>
      </c>
      <c r="P602" s="44"/>
      <c r="Q602" s="57">
        <v>67453</v>
      </c>
      <c r="R602" s="58" t="s">
        <v>109</v>
      </c>
      <c r="S602" s="45"/>
      <c r="T602" s="45"/>
      <c r="U602" s="59">
        <v>762007837</v>
      </c>
      <c r="V602" s="58" t="s">
        <v>786</v>
      </c>
      <c r="W602" s="60" t="s">
        <v>89</v>
      </c>
      <c r="X602" s="58" t="s">
        <v>104</v>
      </c>
      <c r="Y602" s="61">
        <f>40151+(6*364)</f>
        <v>42335</v>
      </c>
      <c r="Z602" s="44">
        <f t="shared" ca="1" si="9"/>
        <v>9</v>
      </c>
    </row>
    <row r="603" spans="1:26" x14ac:dyDescent="0.25">
      <c r="A603" s="52" t="s">
        <v>140</v>
      </c>
      <c r="B603" s="52" t="s">
        <v>80</v>
      </c>
      <c r="C603" s="53">
        <v>26888</v>
      </c>
      <c r="D603" s="54">
        <v>99186</v>
      </c>
      <c r="K603" s="54"/>
      <c r="N603" s="62">
        <v>881003055</v>
      </c>
      <c r="O603" s="56">
        <v>7194416232</v>
      </c>
      <c r="P603" s="44" t="s">
        <v>82</v>
      </c>
      <c r="Q603" s="57">
        <v>107133</v>
      </c>
      <c r="R603" s="58" t="s">
        <v>71</v>
      </c>
      <c r="S603" s="45"/>
      <c r="T603" s="45"/>
      <c r="U603" s="59">
        <v>379004514</v>
      </c>
      <c r="V603" s="58" t="s">
        <v>815</v>
      </c>
      <c r="W603" s="60" t="s">
        <v>73</v>
      </c>
      <c r="X603" s="58" t="s">
        <v>90</v>
      </c>
      <c r="Y603" s="61">
        <f>39997+(6*364)</f>
        <v>42181</v>
      </c>
      <c r="Z603" s="44">
        <f t="shared" ca="1" si="9"/>
        <v>9</v>
      </c>
    </row>
    <row r="604" spans="1:26" x14ac:dyDescent="0.25">
      <c r="A604" s="52" t="s">
        <v>151</v>
      </c>
      <c r="B604" s="52" t="s">
        <v>80</v>
      </c>
      <c r="C604" s="53">
        <v>60583</v>
      </c>
      <c r="D604" s="54">
        <v>54481</v>
      </c>
      <c r="K604" s="54"/>
      <c r="N604" s="55">
        <v>881009792</v>
      </c>
      <c r="O604" s="56">
        <v>5055789252</v>
      </c>
      <c r="P604" s="44" t="s">
        <v>92</v>
      </c>
      <c r="Q604" s="57">
        <v>87144</v>
      </c>
      <c r="R604" s="58" t="s">
        <v>71</v>
      </c>
      <c r="S604" s="45"/>
      <c r="T604" s="45"/>
      <c r="U604" s="59">
        <v>758008512</v>
      </c>
      <c r="V604" s="58" t="s">
        <v>401</v>
      </c>
      <c r="W604" s="60" t="s">
        <v>89</v>
      </c>
      <c r="X604" s="58" t="s">
        <v>80</v>
      </c>
      <c r="Y604" s="61">
        <f>42604+(6*364)</f>
        <v>44788</v>
      </c>
      <c r="Z604" s="44">
        <f t="shared" ca="1" si="9"/>
        <v>2</v>
      </c>
    </row>
    <row r="605" spans="1:26" x14ac:dyDescent="0.25">
      <c r="A605" s="52" t="s">
        <v>169</v>
      </c>
      <c r="B605" s="52" t="s">
        <v>80</v>
      </c>
      <c r="C605" s="53">
        <v>77222</v>
      </c>
      <c r="D605" s="54">
        <v>31026</v>
      </c>
      <c r="K605" s="54"/>
      <c r="N605" s="55">
        <v>882004124</v>
      </c>
      <c r="O605" s="56">
        <v>9706973131</v>
      </c>
      <c r="P605" s="44"/>
      <c r="Q605" s="57">
        <v>72518</v>
      </c>
      <c r="R605" s="58" t="s">
        <v>87</v>
      </c>
      <c r="S605" s="45"/>
      <c r="T605" s="45"/>
      <c r="U605" s="59">
        <v>774003171</v>
      </c>
      <c r="V605" s="58" t="s">
        <v>737</v>
      </c>
      <c r="W605" s="60" t="s">
        <v>84</v>
      </c>
      <c r="X605" s="58" t="s">
        <v>74</v>
      </c>
      <c r="Y605" s="61">
        <f>42183+(6*364)</f>
        <v>44367</v>
      </c>
      <c r="Z605" s="44">
        <f t="shared" ca="1" si="9"/>
        <v>3</v>
      </c>
    </row>
    <row r="606" spans="1:26" x14ac:dyDescent="0.25">
      <c r="A606" s="52" t="s">
        <v>184</v>
      </c>
      <c r="B606" s="52" t="s">
        <v>80</v>
      </c>
      <c r="C606" s="53">
        <v>67123</v>
      </c>
      <c r="D606" s="54">
        <v>77359</v>
      </c>
      <c r="K606" s="54"/>
      <c r="N606" s="62">
        <v>883006408</v>
      </c>
      <c r="O606" s="56">
        <v>9705536623</v>
      </c>
      <c r="P606" s="44" t="s">
        <v>76</v>
      </c>
      <c r="Q606" s="57">
        <v>121758</v>
      </c>
      <c r="R606" s="58" t="s">
        <v>71</v>
      </c>
      <c r="S606" s="45"/>
      <c r="T606" s="45"/>
      <c r="U606" s="59">
        <v>387005277</v>
      </c>
      <c r="V606" s="58" t="s">
        <v>673</v>
      </c>
      <c r="W606" s="60" t="s">
        <v>73</v>
      </c>
      <c r="X606" s="58" t="s">
        <v>80</v>
      </c>
      <c r="Y606" s="61">
        <f>37500+(6*364)</f>
        <v>39684</v>
      </c>
      <c r="Z606" s="44">
        <f t="shared" ca="1" si="9"/>
        <v>16</v>
      </c>
    </row>
    <row r="607" spans="1:26" x14ac:dyDescent="0.25">
      <c r="A607" s="52" t="s">
        <v>216</v>
      </c>
      <c r="B607" s="52" t="s">
        <v>80</v>
      </c>
      <c r="C607" s="53">
        <v>13584</v>
      </c>
      <c r="D607" s="54">
        <v>58454</v>
      </c>
      <c r="K607" s="54"/>
      <c r="N607" s="55">
        <v>884002138</v>
      </c>
      <c r="O607" s="56">
        <v>9701715499</v>
      </c>
      <c r="P607" s="44"/>
      <c r="Q607" s="57">
        <v>93813</v>
      </c>
      <c r="R607" s="58" t="s">
        <v>87</v>
      </c>
      <c r="S607" s="45"/>
      <c r="T607" s="45"/>
      <c r="U607" s="59">
        <v>365009327</v>
      </c>
      <c r="V607" s="58" t="s">
        <v>125</v>
      </c>
      <c r="W607" s="60" t="s">
        <v>89</v>
      </c>
      <c r="X607" s="58" t="s">
        <v>129</v>
      </c>
      <c r="Y607" s="61">
        <f>37491+(6*364)</f>
        <v>39675</v>
      </c>
      <c r="Z607" s="44">
        <f t="shared" ca="1" si="9"/>
        <v>16</v>
      </c>
    </row>
    <row r="608" spans="1:26" x14ac:dyDescent="0.25">
      <c r="A608" s="52" t="s">
        <v>222</v>
      </c>
      <c r="B608" s="52" t="s">
        <v>80</v>
      </c>
      <c r="C608" s="53">
        <v>14146</v>
      </c>
      <c r="D608" s="54">
        <v>97543</v>
      </c>
      <c r="K608" s="54"/>
      <c r="N608" s="62">
        <v>884003350</v>
      </c>
      <c r="O608" s="56">
        <v>3031575684</v>
      </c>
      <c r="P608" s="44" t="s">
        <v>92</v>
      </c>
      <c r="Q608" s="57">
        <v>83559</v>
      </c>
      <c r="R608" s="58" t="s">
        <v>71</v>
      </c>
      <c r="S608" s="45"/>
      <c r="T608" s="45"/>
      <c r="U608" s="59">
        <v>660005429</v>
      </c>
      <c r="V608" s="58" t="s">
        <v>751</v>
      </c>
      <c r="W608" s="60" t="s">
        <v>73</v>
      </c>
      <c r="X608" s="58" t="s">
        <v>90</v>
      </c>
      <c r="Y608" s="61">
        <f>35698+(6*364)</f>
        <v>37882</v>
      </c>
      <c r="Z608" s="44">
        <f t="shared" ca="1" si="9"/>
        <v>21</v>
      </c>
    </row>
    <row r="609" spans="1:26" x14ac:dyDescent="0.25">
      <c r="A609" s="52" t="s">
        <v>239</v>
      </c>
      <c r="B609" s="52" t="s">
        <v>80</v>
      </c>
      <c r="C609" s="53">
        <v>73376</v>
      </c>
      <c r="D609" s="54">
        <v>95583</v>
      </c>
      <c r="K609" s="54"/>
      <c r="N609" s="55">
        <v>884009271</v>
      </c>
      <c r="O609" s="56">
        <v>3035057530</v>
      </c>
      <c r="P609" s="44"/>
      <c r="Q609" s="57">
        <v>77915</v>
      </c>
      <c r="R609" s="58" t="s">
        <v>87</v>
      </c>
      <c r="S609" s="45"/>
      <c r="T609" s="45"/>
      <c r="U609" s="59">
        <v>992002235</v>
      </c>
      <c r="V609" s="58" t="s">
        <v>578</v>
      </c>
      <c r="W609" s="60" t="s">
        <v>89</v>
      </c>
      <c r="X609" s="58" t="s">
        <v>90</v>
      </c>
      <c r="Y609" s="61">
        <f>42194+(6*364)</f>
        <v>44378</v>
      </c>
      <c r="Z609" s="44">
        <f t="shared" ca="1" si="9"/>
        <v>3</v>
      </c>
    </row>
    <row r="610" spans="1:26" x14ac:dyDescent="0.25">
      <c r="A610" s="52" t="s">
        <v>241</v>
      </c>
      <c r="B610" s="52" t="s">
        <v>80</v>
      </c>
      <c r="C610" s="53">
        <v>89297</v>
      </c>
      <c r="D610" s="54">
        <v>90295</v>
      </c>
      <c r="K610" s="54"/>
      <c r="N610" s="62">
        <v>889001159</v>
      </c>
      <c r="O610" s="56">
        <v>3034629606</v>
      </c>
      <c r="P610" s="44" t="s">
        <v>99</v>
      </c>
      <c r="Q610" s="57">
        <v>68858</v>
      </c>
      <c r="R610" s="58" t="s">
        <v>77</v>
      </c>
      <c r="S610" s="45"/>
      <c r="T610" s="45"/>
      <c r="U610" s="59">
        <v>220005001</v>
      </c>
      <c r="V610" s="58" t="s">
        <v>738</v>
      </c>
      <c r="W610" s="60" t="s">
        <v>73</v>
      </c>
      <c r="X610" s="58" t="s">
        <v>80</v>
      </c>
      <c r="Y610" s="61">
        <f>37390+(6*364)</f>
        <v>39574</v>
      </c>
      <c r="Z610" s="44">
        <f t="shared" ca="1" si="9"/>
        <v>16</v>
      </c>
    </row>
    <row r="611" spans="1:26" x14ac:dyDescent="0.25">
      <c r="A611" s="52" t="s">
        <v>252</v>
      </c>
      <c r="B611" s="52" t="s">
        <v>80</v>
      </c>
      <c r="C611" s="53">
        <v>75251</v>
      </c>
      <c r="D611" s="54">
        <v>74359</v>
      </c>
      <c r="K611" s="54"/>
      <c r="N611" s="62">
        <v>893007963</v>
      </c>
      <c r="O611" s="56">
        <v>3035220001</v>
      </c>
      <c r="P611" s="44"/>
      <c r="Q611" s="57">
        <v>77750</v>
      </c>
      <c r="R611" s="58" t="s">
        <v>87</v>
      </c>
      <c r="S611" s="45"/>
      <c r="T611" s="45"/>
      <c r="U611" s="59">
        <v>198003086</v>
      </c>
      <c r="V611" s="58" t="s">
        <v>580</v>
      </c>
      <c r="W611" s="60" t="s">
        <v>89</v>
      </c>
      <c r="X611" s="58" t="s">
        <v>94</v>
      </c>
      <c r="Y611" s="61">
        <f>38597+(6*364)</f>
        <v>40781</v>
      </c>
      <c r="Z611" s="44">
        <f t="shared" ca="1" si="9"/>
        <v>13</v>
      </c>
    </row>
    <row r="612" spans="1:26" x14ac:dyDescent="0.25">
      <c r="A612" s="52" t="s">
        <v>258</v>
      </c>
      <c r="B612" s="52" t="s">
        <v>80</v>
      </c>
      <c r="C612" s="53">
        <v>92772</v>
      </c>
      <c r="D612" s="54">
        <v>92664</v>
      </c>
      <c r="K612" s="54"/>
      <c r="N612" s="62">
        <v>895003624</v>
      </c>
      <c r="O612" s="56">
        <v>5056711140</v>
      </c>
      <c r="P612" s="44" t="s">
        <v>99</v>
      </c>
      <c r="Q612" s="57">
        <v>87937</v>
      </c>
      <c r="R612" s="58" t="s">
        <v>71</v>
      </c>
      <c r="S612" s="45"/>
      <c r="T612" s="45"/>
      <c r="U612" s="59">
        <v>228003664</v>
      </c>
      <c r="V612" s="58" t="s">
        <v>787</v>
      </c>
      <c r="W612" s="60" t="s">
        <v>73</v>
      </c>
      <c r="X612" s="58" t="s">
        <v>107</v>
      </c>
      <c r="Y612" s="61">
        <f>37493+(6*364)</f>
        <v>39677</v>
      </c>
      <c r="Z612" s="44">
        <f t="shared" ca="1" si="9"/>
        <v>16</v>
      </c>
    </row>
    <row r="613" spans="1:26" x14ac:dyDescent="0.25">
      <c r="A613" s="52" t="s">
        <v>274</v>
      </c>
      <c r="B613" s="52" t="s">
        <v>80</v>
      </c>
      <c r="C613" s="53">
        <v>80674</v>
      </c>
      <c r="D613" s="54">
        <v>97980</v>
      </c>
      <c r="K613" s="54"/>
      <c r="N613" s="62">
        <v>896001807</v>
      </c>
      <c r="O613" s="56">
        <v>5056306545</v>
      </c>
      <c r="P613" s="44"/>
      <c r="Q613" s="57">
        <v>48315</v>
      </c>
      <c r="R613" s="58" t="s">
        <v>87</v>
      </c>
      <c r="S613" s="45"/>
      <c r="T613" s="45"/>
      <c r="U613" s="59">
        <v>685002167</v>
      </c>
      <c r="V613" s="58" t="s">
        <v>127</v>
      </c>
      <c r="W613" s="60" t="s">
        <v>154</v>
      </c>
      <c r="X613" s="58" t="s">
        <v>85</v>
      </c>
      <c r="Y613" s="61">
        <f>39065+(6*364)</f>
        <v>41249</v>
      </c>
      <c r="Z613" s="44">
        <f t="shared" ca="1" si="9"/>
        <v>12</v>
      </c>
    </row>
    <row r="614" spans="1:26" x14ac:dyDescent="0.25">
      <c r="A614" s="52" t="s">
        <v>291</v>
      </c>
      <c r="B614" s="52" t="s">
        <v>80</v>
      </c>
      <c r="C614" s="53">
        <v>26552</v>
      </c>
      <c r="D614" s="54">
        <v>108923</v>
      </c>
      <c r="K614" s="54"/>
      <c r="N614" s="62">
        <v>896006825</v>
      </c>
      <c r="O614" s="56">
        <v>7195691314</v>
      </c>
      <c r="P614" s="44" t="s">
        <v>92</v>
      </c>
      <c r="Q614" s="57">
        <v>57418</v>
      </c>
      <c r="R614" s="58" t="s">
        <v>77</v>
      </c>
      <c r="S614" s="45"/>
      <c r="T614" s="45"/>
      <c r="U614" s="59">
        <v>715009413</v>
      </c>
      <c r="V614" s="58" t="s">
        <v>818</v>
      </c>
      <c r="W614" s="60" t="s">
        <v>101</v>
      </c>
      <c r="X614" s="58" t="s">
        <v>104</v>
      </c>
      <c r="Y614" s="61">
        <f>36426+(6*364)</f>
        <v>38610</v>
      </c>
      <c r="Z614" s="44">
        <f t="shared" ca="1" si="9"/>
        <v>19</v>
      </c>
    </row>
    <row r="615" spans="1:26" x14ac:dyDescent="0.25">
      <c r="A615" s="52" t="s">
        <v>296</v>
      </c>
      <c r="B615" s="52" t="s">
        <v>80</v>
      </c>
      <c r="C615" s="53">
        <v>38650</v>
      </c>
      <c r="D615" s="54">
        <v>71858</v>
      </c>
      <c r="K615" s="54"/>
      <c r="N615" s="62">
        <v>899004709</v>
      </c>
      <c r="O615" s="56">
        <v>5056657361</v>
      </c>
      <c r="P615" s="44" t="s">
        <v>99</v>
      </c>
      <c r="Q615" s="57">
        <v>73590</v>
      </c>
      <c r="R615" s="58" t="s">
        <v>71</v>
      </c>
      <c r="S615" s="45"/>
      <c r="T615" s="45"/>
      <c r="U615" s="59">
        <v>965008350</v>
      </c>
      <c r="V615" s="58" t="s">
        <v>696</v>
      </c>
      <c r="W615" s="60" t="s">
        <v>79</v>
      </c>
      <c r="X615" s="58" t="s">
        <v>173</v>
      </c>
      <c r="Y615" s="61">
        <f>37375+(6*364)</f>
        <v>39559</v>
      </c>
      <c r="Z615" s="44">
        <f t="shared" ca="1" si="9"/>
        <v>16</v>
      </c>
    </row>
    <row r="616" spans="1:26" x14ac:dyDescent="0.25">
      <c r="A616" s="52" t="s">
        <v>307</v>
      </c>
      <c r="B616" s="52" t="s">
        <v>80</v>
      </c>
      <c r="C616" s="53">
        <v>92867</v>
      </c>
      <c r="D616" s="54">
        <v>93191</v>
      </c>
      <c r="K616" s="54"/>
      <c r="N616" s="62">
        <v>900001203</v>
      </c>
      <c r="O616" s="56">
        <v>7192212512</v>
      </c>
      <c r="P616" s="44" t="s">
        <v>99</v>
      </c>
      <c r="Q616" s="57">
        <v>112115</v>
      </c>
      <c r="R616" s="58" t="s">
        <v>77</v>
      </c>
      <c r="S616" s="45"/>
      <c r="T616" s="45"/>
      <c r="U616" s="59">
        <v>342004383</v>
      </c>
      <c r="V616" s="58" t="s">
        <v>819</v>
      </c>
      <c r="W616" s="60" t="s">
        <v>73</v>
      </c>
      <c r="X616" s="58" t="s">
        <v>94</v>
      </c>
      <c r="Y616" s="61">
        <f>38711+(6*364)</f>
        <v>40895</v>
      </c>
      <c r="Z616" s="44">
        <f t="shared" ca="1" si="9"/>
        <v>13</v>
      </c>
    </row>
    <row r="617" spans="1:26" x14ac:dyDescent="0.25">
      <c r="A617" s="52" t="s">
        <v>323</v>
      </c>
      <c r="B617" s="52" t="s">
        <v>80</v>
      </c>
      <c r="C617" s="53">
        <v>98848</v>
      </c>
      <c r="D617" s="54">
        <v>108704</v>
      </c>
      <c r="K617" s="54"/>
      <c r="N617" s="62">
        <v>902004006</v>
      </c>
      <c r="O617" s="56">
        <v>9705610944</v>
      </c>
      <c r="P617" s="44"/>
      <c r="Q617" s="57">
        <v>73785</v>
      </c>
      <c r="R617" s="58" t="s">
        <v>87</v>
      </c>
      <c r="S617" s="45"/>
      <c r="T617" s="45"/>
      <c r="U617" s="59">
        <v>223008642</v>
      </c>
      <c r="V617" s="58" t="s">
        <v>24</v>
      </c>
      <c r="W617" s="60" t="s">
        <v>89</v>
      </c>
      <c r="X617" s="58" t="s">
        <v>190</v>
      </c>
      <c r="Y617" s="61">
        <f>37373+(6*364)</f>
        <v>39557</v>
      </c>
      <c r="Z617" s="44">
        <f t="shared" ca="1" si="9"/>
        <v>16</v>
      </c>
    </row>
    <row r="618" spans="1:26" x14ac:dyDescent="0.25">
      <c r="A618" s="52" t="s">
        <v>325</v>
      </c>
      <c r="B618" s="52" t="s">
        <v>80</v>
      </c>
      <c r="C618" s="53">
        <v>51767</v>
      </c>
      <c r="D618" s="54">
        <v>98721</v>
      </c>
      <c r="K618" s="54"/>
      <c r="N618" s="62">
        <v>902005832</v>
      </c>
      <c r="O618" s="56">
        <v>5053454032</v>
      </c>
      <c r="P618" s="44" t="s">
        <v>99</v>
      </c>
      <c r="Q618" s="57">
        <v>87395</v>
      </c>
      <c r="R618" s="58" t="s">
        <v>71</v>
      </c>
      <c r="S618" s="45"/>
      <c r="T618" s="45"/>
      <c r="U618" s="59">
        <v>940008618</v>
      </c>
      <c r="V618" s="58" t="s">
        <v>150</v>
      </c>
      <c r="W618" s="60" t="s">
        <v>154</v>
      </c>
      <c r="X618" s="58" t="s">
        <v>107</v>
      </c>
      <c r="Y618" s="61">
        <f>41846+(6*364)</f>
        <v>44030</v>
      </c>
      <c r="Z618" s="44">
        <f t="shared" ca="1" si="9"/>
        <v>4</v>
      </c>
    </row>
    <row r="619" spans="1:26" x14ac:dyDescent="0.25">
      <c r="A619" s="52" t="s">
        <v>338</v>
      </c>
      <c r="B619" s="52" t="s">
        <v>80</v>
      </c>
      <c r="C619" s="53">
        <v>40605</v>
      </c>
      <c r="D619" s="54">
        <v>74155</v>
      </c>
      <c r="K619" s="54"/>
      <c r="N619" s="62">
        <v>903005127</v>
      </c>
      <c r="O619" s="56">
        <v>3034479196</v>
      </c>
      <c r="P619" s="44" t="s">
        <v>92</v>
      </c>
      <c r="Q619" s="57">
        <v>53654</v>
      </c>
      <c r="R619" s="58" t="s">
        <v>71</v>
      </c>
      <c r="S619" s="45"/>
      <c r="T619" s="45"/>
      <c r="U619" s="59">
        <v>433000612</v>
      </c>
      <c r="V619" s="58" t="s">
        <v>152</v>
      </c>
      <c r="W619" s="60" t="s">
        <v>79</v>
      </c>
      <c r="X619" s="58" t="s">
        <v>85</v>
      </c>
      <c r="Y619" s="61">
        <f>37780+(6*364)</f>
        <v>39964</v>
      </c>
      <c r="Z619" s="44">
        <f t="shared" ca="1" si="9"/>
        <v>15</v>
      </c>
    </row>
    <row r="620" spans="1:26" x14ac:dyDescent="0.25">
      <c r="A620" s="52" t="s">
        <v>353</v>
      </c>
      <c r="B620" s="52" t="s">
        <v>80</v>
      </c>
      <c r="C620" s="53">
        <v>56032</v>
      </c>
      <c r="D620" s="54">
        <v>45173</v>
      </c>
      <c r="K620" s="54"/>
      <c r="N620" s="62">
        <v>904001329</v>
      </c>
      <c r="O620" s="56">
        <v>9704075460</v>
      </c>
      <c r="P620" s="44" t="s">
        <v>70</v>
      </c>
      <c r="Q620" s="57">
        <v>40652</v>
      </c>
      <c r="R620" s="58" t="s">
        <v>71</v>
      </c>
      <c r="S620" s="45"/>
      <c r="T620" s="45"/>
      <c r="U620" s="59">
        <v>348001418</v>
      </c>
      <c r="V620" s="58" t="s">
        <v>788</v>
      </c>
      <c r="W620" s="60" t="s">
        <v>101</v>
      </c>
      <c r="X620" s="58" t="s">
        <v>90</v>
      </c>
      <c r="Y620" s="61">
        <f>36709+(6*364)</f>
        <v>38893</v>
      </c>
      <c r="Z620" s="44">
        <f t="shared" ca="1" si="9"/>
        <v>18</v>
      </c>
    </row>
    <row r="621" spans="1:26" x14ac:dyDescent="0.25">
      <c r="A621" s="52" t="s">
        <v>358</v>
      </c>
      <c r="B621" s="52" t="s">
        <v>80</v>
      </c>
      <c r="C621" s="53">
        <v>12762</v>
      </c>
      <c r="D621" s="54">
        <v>62143</v>
      </c>
      <c r="K621" s="54"/>
      <c r="N621" s="62">
        <v>904005434</v>
      </c>
      <c r="O621" s="56">
        <v>9706097340</v>
      </c>
      <c r="P621" s="44" t="s">
        <v>70</v>
      </c>
      <c r="Q621" s="57">
        <v>109746</v>
      </c>
      <c r="R621" s="58" t="s">
        <v>71</v>
      </c>
      <c r="S621" s="45"/>
      <c r="T621" s="45"/>
      <c r="U621" s="59">
        <v>854005158</v>
      </c>
      <c r="V621" s="58" t="s">
        <v>820</v>
      </c>
      <c r="W621" s="60" t="s">
        <v>79</v>
      </c>
      <c r="X621" s="58" t="s">
        <v>159</v>
      </c>
      <c r="Y621" s="61">
        <f>37074+(6*364)</f>
        <v>39258</v>
      </c>
      <c r="Z621" s="44">
        <f t="shared" ca="1" si="9"/>
        <v>17</v>
      </c>
    </row>
    <row r="622" spans="1:26" x14ac:dyDescent="0.25">
      <c r="A622" s="52" t="s">
        <v>361</v>
      </c>
      <c r="B622" s="52" t="s">
        <v>80</v>
      </c>
      <c r="C622" s="53">
        <v>81666</v>
      </c>
      <c r="D622" s="54">
        <v>116563</v>
      </c>
      <c r="K622" s="54"/>
      <c r="N622" s="62">
        <v>905007977</v>
      </c>
      <c r="O622" s="56">
        <v>9706674988</v>
      </c>
      <c r="P622" s="44"/>
      <c r="Q622" s="57">
        <v>75337</v>
      </c>
      <c r="R622" s="58" t="s">
        <v>87</v>
      </c>
      <c r="S622" s="45"/>
      <c r="T622" s="45"/>
      <c r="U622" s="59">
        <v>327005545</v>
      </c>
      <c r="V622" s="58" t="s">
        <v>403</v>
      </c>
      <c r="W622" s="60" t="s">
        <v>101</v>
      </c>
      <c r="X622" s="58" t="s">
        <v>90</v>
      </c>
      <c r="Y622" s="61">
        <f>36407+(6*364)</f>
        <v>38591</v>
      </c>
      <c r="Z622" s="44">
        <f t="shared" ca="1" si="9"/>
        <v>19</v>
      </c>
    </row>
    <row r="623" spans="1:26" x14ac:dyDescent="0.25">
      <c r="A623" s="52" t="s">
        <v>365</v>
      </c>
      <c r="B623" s="52" t="s">
        <v>80</v>
      </c>
      <c r="C623" s="53">
        <v>17772</v>
      </c>
      <c r="D623" s="54">
        <v>120987</v>
      </c>
      <c r="K623" s="54"/>
      <c r="N623" s="62">
        <v>907004260</v>
      </c>
      <c r="O623" s="56">
        <v>9706756847</v>
      </c>
      <c r="P623" s="44" t="s">
        <v>70</v>
      </c>
      <c r="Q623" s="57">
        <v>74113</v>
      </c>
      <c r="R623" s="58" t="s">
        <v>77</v>
      </c>
      <c r="S623" s="45"/>
      <c r="T623" s="45"/>
      <c r="U623" s="59">
        <v>464001556</v>
      </c>
      <c r="V623" s="58" t="s">
        <v>821</v>
      </c>
      <c r="W623" s="60" t="s">
        <v>89</v>
      </c>
      <c r="X623" s="58" t="s">
        <v>107</v>
      </c>
      <c r="Y623" s="61">
        <f>39100+(6*364)</f>
        <v>41284</v>
      </c>
      <c r="Z623" s="44">
        <f t="shared" ca="1" si="9"/>
        <v>12</v>
      </c>
    </row>
    <row r="624" spans="1:26" x14ac:dyDescent="0.25">
      <c r="A624" s="52" t="s">
        <v>400</v>
      </c>
      <c r="B624" s="52" t="s">
        <v>80</v>
      </c>
      <c r="C624" s="53">
        <v>54727</v>
      </c>
      <c r="D624" s="54">
        <v>26169</v>
      </c>
      <c r="K624" s="54"/>
      <c r="N624" s="62">
        <v>907007089</v>
      </c>
      <c r="O624" s="56">
        <v>9704078104</v>
      </c>
      <c r="P624" s="44" t="s">
        <v>99</v>
      </c>
      <c r="Q624" s="57">
        <v>80345</v>
      </c>
      <c r="R624" s="58" t="s">
        <v>71</v>
      </c>
      <c r="S624" s="45"/>
      <c r="T624" s="45"/>
      <c r="U624" s="59">
        <v>608002596</v>
      </c>
      <c r="V624" s="58" t="s">
        <v>583</v>
      </c>
      <c r="W624" s="60" t="s">
        <v>89</v>
      </c>
      <c r="X624" s="58" t="s">
        <v>90</v>
      </c>
      <c r="Y624" s="61">
        <f>39255+(6*364)</f>
        <v>41439</v>
      </c>
      <c r="Z624" s="44">
        <f t="shared" ca="1" si="9"/>
        <v>11</v>
      </c>
    </row>
    <row r="625" spans="1:26" x14ac:dyDescent="0.25">
      <c r="A625" s="52" t="s">
        <v>413</v>
      </c>
      <c r="B625" s="52" t="s">
        <v>80</v>
      </c>
      <c r="C625" s="53">
        <v>35123</v>
      </c>
      <c r="D625" s="54">
        <v>78719</v>
      </c>
      <c r="K625" s="54"/>
      <c r="N625" s="62">
        <v>907007584</v>
      </c>
      <c r="O625" s="56">
        <v>5057909707</v>
      </c>
      <c r="P625" s="44" t="s">
        <v>76</v>
      </c>
      <c r="Q625" s="57">
        <v>115337</v>
      </c>
      <c r="R625" s="58" t="s">
        <v>71</v>
      </c>
      <c r="S625" s="45"/>
      <c r="T625" s="45"/>
      <c r="U625" s="59">
        <v>415009070</v>
      </c>
      <c r="V625" s="58" t="s">
        <v>339</v>
      </c>
      <c r="W625" s="60" t="s">
        <v>73</v>
      </c>
      <c r="X625" s="58" t="s">
        <v>173</v>
      </c>
      <c r="Y625" s="61">
        <f>41669+(6*364)</f>
        <v>43853</v>
      </c>
      <c r="Z625" s="44">
        <f t="shared" ca="1" si="9"/>
        <v>5</v>
      </c>
    </row>
    <row r="626" spans="1:26" x14ac:dyDescent="0.25">
      <c r="A626" s="52" t="s">
        <v>424</v>
      </c>
      <c r="B626" s="52" t="s">
        <v>80</v>
      </c>
      <c r="C626" s="53">
        <v>78166</v>
      </c>
      <c r="D626" s="54">
        <v>78582</v>
      </c>
      <c r="K626" s="54"/>
      <c r="N626" s="62">
        <v>908009023</v>
      </c>
      <c r="O626" s="56">
        <v>9701376854</v>
      </c>
      <c r="P626" s="44" t="s">
        <v>82</v>
      </c>
      <c r="Q626" s="57">
        <v>51515</v>
      </c>
      <c r="R626" s="58" t="s">
        <v>77</v>
      </c>
      <c r="S626" s="45"/>
      <c r="T626" s="45"/>
      <c r="U626" s="59">
        <v>179001922</v>
      </c>
      <c r="V626" s="58" t="s">
        <v>341</v>
      </c>
      <c r="W626" s="60" t="s">
        <v>89</v>
      </c>
      <c r="X626" s="58" t="s">
        <v>74</v>
      </c>
      <c r="Y626" s="61">
        <f>41692+(6*364)</f>
        <v>43876</v>
      </c>
      <c r="Z626" s="44">
        <f t="shared" ca="1" si="9"/>
        <v>5</v>
      </c>
    </row>
    <row r="627" spans="1:26" x14ac:dyDescent="0.25">
      <c r="A627" s="52" t="s">
        <v>428</v>
      </c>
      <c r="B627" s="52" t="s">
        <v>80</v>
      </c>
      <c r="C627" s="53">
        <v>41415</v>
      </c>
      <c r="D627" s="54">
        <v>133546</v>
      </c>
      <c r="K627" s="54"/>
      <c r="N627" s="62">
        <v>909006073</v>
      </c>
      <c r="O627" s="56">
        <v>7191657646</v>
      </c>
      <c r="P627" s="44" t="s">
        <v>99</v>
      </c>
      <c r="Q627" s="57">
        <v>87706</v>
      </c>
      <c r="R627" s="58" t="s">
        <v>71</v>
      </c>
      <c r="S627" s="45"/>
      <c r="T627" s="45"/>
      <c r="U627" s="59">
        <v>893007963</v>
      </c>
      <c r="V627" s="58" t="s">
        <v>585</v>
      </c>
      <c r="W627" s="60" t="s">
        <v>101</v>
      </c>
      <c r="X627" s="58" t="s">
        <v>173</v>
      </c>
      <c r="Y627" s="61">
        <f>39006+(6*364)</f>
        <v>41190</v>
      </c>
      <c r="Z627" s="44">
        <f t="shared" ca="1" si="9"/>
        <v>12</v>
      </c>
    </row>
    <row r="628" spans="1:26" x14ac:dyDescent="0.25">
      <c r="A628" s="52" t="s">
        <v>840</v>
      </c>
      <c r="B628" s="52" t="s">
        <v>80</v>
      </c>
      <c r="C628" s="53">
        <v>35088</v>
      </c>
      <c r="D628" s="54">
        <v>114089</v>
      </c>
      <c r="K628" s="54"/>
      <c r="N628" s="62">
        <v>910002208</v>
      </c>
      <c r="O628" s="56">
        <v>3031780498</v>
      </c>
      <c r="P628" s="44" t="s">
        <v>92</v>
      </c>
      <c r="Q628" s="57">
        <v>73482</v>
      </c>
      <c r="R628" s="58" t="s">
        <v>71</v>
      </c>
      <c r="S628" s="45"/>
      <c r="T628" s="45"/>
      <c r="U628" s="59">
        <v>450008263</v>
      </c>
      <c r="V628" s="58" t="s">
        <v>587</v>
      </c>
      <c r="W628" s="60" t="s">
        <v>73</v>
      </c>
      <c r="X628" s="58" t="s">
        <v>74</v>
      </c>
      <c r="Y628" s="61">
        <f>37177+(6*364)</f>
        <v>39361</v>
      </c>
      <c r="Z628" s="44">
        <f t="shared" ca="1" si="9"/>
        <v>17</v>
      </c>
    </row>
    <row r="629" spans="1:26" x14ac:dyDescent="0.25">
      <c r="A629" s="52" t="s">
        <v>430</v>
      </c>
      <c r="B629" s="52" t="s">
        <v>80</v>
      </c>
      <c r="C629" s="53">
        <v>60552</v>
      </c>
      <c r="D629" s="54">
        <v>72257</v>
      </c>
      <c r="K629" s="54"/>
      <c r="N629" s="62">
        <v>910006892</v>
      </c>
      <c r="O629" s="56">
        <v>7197600603</v>
      </c>
      <c r="P629" s="44" t="s">
        <v>82</v>
      </c>
      <c r="Q629" s="57">
        <v>94749</v>
      </c>
      <c r="R629" s="58" t="s">
        <v>71</v>
      </c>
      <c r="S629" s="45"/>
      <c r="T629" s="45"/>
      <c r="U629" s="59">
        <v>724005925</v>
      </c>
      <c r="V629" s="58" t="s">
        <v>676</v>
      </c>
      <c r="W629" s="60" t="s">
        <v>89</v>
      </c>
      <c r="X629" s="58" t="s">
        <v>85</v>
      </c>
      <c r="Y629" s="61">
        <f>37700+(6*364)</f>
        <v>39884</v>
      </c>
      <c r="Z629" s="44">
        <f t="shared" ca="1" si="9"/>
        <v>15</v>
      </c>
    </row>
    <row r="630" spans="1:26" x14ac:dyDescent="0.25">
      <c r="A630" s="52" t="s">
        <v>448</v>
      </c>
      <c r="B630" s="52" t="s">
        <v>80</v>
      </c>
      <c r="C630" s="53">
        <v>27874</v>
      </c>
      <c r="D630" s="54">
        <v>107773</v>
      </c>
      <c r="K630" s="54"/>
      <c r="N630" s="62">
        <v>911008047</v>
      </c>
      <c r="O630" s="56">
        <v>5052387348</v>
      </c>
      <c r="P630" s="44" t="s">
        <v>92</v>
      </c>
      <c r="Q630" s="57">
        <v>119985</v>
      </c>
      <c r="R630" s="58" t="s">
        <v>71</v>
      </c>
      <c r="S630" s="45"/>
      <c r="T630" s="45"/>
      <c r="U630" s="59">
        <v>476000694</v>
      </c>
      <c r="V630" s="58" t="s">
        <v>589</v>
      </c>
      <c r="W630" s="60" t="s">
        <v>79</v>
      </c>
      <c r="X630" s="58" t="s">
        <v>94</v>
      </c>
      <c r="Y630" s="61">
        <f>42345+(6*364)</f>
        <v>44529</v>
      </c>
      <c r="Z630" s="44">
        <f t="shared" ca="1" si="9"/>
        <v>3</v>
      </c>
    </row>
    <row r="631" spans="1:26" x14ac:dyDescent="0.25">
      <c r="A631" s="52" t="s">
        <v>450</v>
      </c>
      <c r="B631" s="52" t="s">
        <v>80</v>
      </c>
      <c r="C631" s="53">
        <v>53609</v>
      </c>
      <c r="D631" s="54">
        <v>100136</v>
      </c>
      <c r="K631" s="54"/>
      <c r="N631" s="62">
        <v>914006664</v>
      </c>
      <c r="O631" s="56">
        <v>5051682521</v>
      </c>
      <c r="P631" s="44" t="s">
        <v>99</v>
      </c>
      <c r="Q631" s="57">
        <v>76557</v>
      </c>
      <c r="R631" s="58" t="s">
        <v>71</v>
      </c>
      <c r="S631" s="45"/>
      <c r="T631" s="45"/>
      <c r="U631" s="59">
        <v>953001503</v>
      </c>
      <c r="V631" s="58" t="s">
        <v>591</v>
      </c>
      <c r="W631" s="60" t="s">
        <v>73</v>
      </c>
      <c r="X631" s="58" t="s">
        <v>159</v>
      </c>
      <c r="Y631" s="61">
        <f>38193+(6*364)</f>
        <v>40377</v>
      </c>
      <c r="Z631" s="44">
        <f t="shared" ca="1" si="9"/>
        <v>14</v>
      </c>
    </row>
    <row r="632" spans="1:26" x14ac:dyDescent="0.25">
      <c r="A632" s="52" t="s">
        <v>451</v>
      </c>
      <c r="B632" s="52" t="s">
        <v>80</v>
      </c>
      <c r="C632" s="53">
        <v>85638</v>
      </c>
      <c r="D632" s="54">
        <v>60471</v>
      </c>
      <c r="K632" s="54"/>
      <c r="N632" s="62">
        <v>917009448</v>
      </c>
      <c r="O632" s="56">
        <v>7197226463</v>
      </c>
      <c r="P632" s="44" t="s">
        <v>99</v>
      </c>
      <c r="Q632" s="57">
        <v>47360</v>
      </c>
      <c r="R632" s="58" t="s">
        <v>71</v>
      </c>
      <c r="S632" s="45"/>
      <c r="T632" s="45"/>
      <c r="U632" s="59">
        <v>503001546</v>
      </c>
      <c r="V632" s="58" t="s">
        <v>739</v>
      </c>
      <c r="W632" s="60" t="s">
        <v>73</v>
      </c>
      <c r="X632" s="58" t="s">
        <v>94</v>
      </c>
      <c r="Y632" s="61">
        <f>39450+(6*364)</f>
        <v>41634</v>
      </c>
      <c r="Z632" s="44">
        <f t="shared" ca="1" si="9"/>
        <v>11</v>
      </c>
    </row>
    <row r="633" spans="1:26" x14ac:dyDescent="0.25">
      <c r="A633" s="52" t="s">
        <v>456</v>
      </c>
      <c r="B633" s="52" t="s">
        <v>80</v>
      </c>
      <c r="C633" s="53">
        <v>41617</v>
      </c>
      <c r="D633" s="54">
        <v>51862</v>
      </c>
      <c r="K633" s="54"/>
      <c r="N633" s="62">
        <v>917009993</v>
      </c>
      <c r="O633" s="56">
        <v>7196166452</v>
      </c>
      <c r="P633" s="44" t="s">
        <v>76</v>
      </c>
      <c r="Q633" s="57">
        <v>86167</v>
      </c>
      <c r="R633" s="58" t="s">
        <v>77</v>
      </c>
      <c r="S633" s="45"/>
      <c r="T633" s="45"/>
      <c r="U633" s="59">
        <v>134005655</v>
      </c>
      <c r="V633" s="58" t="s">
        <v>678</v>
      </c>
      <c r="W633" s="60" t="s">
        <v>73</v>
      </c>
      <c r="X633" s="58" t="s">
        <v>147</v>
      </c>
      <c r="Y633" s="61">
        <f>35665+(6*364)</f>
        <v>37849</v>
      </c>
      <c r="Z633" s="44">
        <f t="shared" ca="1" si="9"/>
        <v>21</v>
      </c>
    </row>
    <row r="634" spans="1:26" x14ac:dyDescent="0.25">
      <c r="A634" s="52" t="s">
        <v>465</v>
      </c>
      <c r="B634" s="52" t="s">
        <v>80</v>
      </c>
      <c r="C634" s="53">
        <v>47326</v>
      </c>
      <c r="D634" s="54">
        <v>100890</v>
      </c>
      <c r="K634" s="54"/>
      <c r="N634" s="62">
        <v>918007446</v>
      </c>
      <c r="O634" s="56">
        <v>3034111882</v>
      </c>
      <c r="P634" s="44"/>
      <c r="Q634" s="57">
        <v>73889</v>
      </c>
      <c r="R634" s="58" t="s">
        <v>87</v>
      </c>
      <c r="S634" s="45"/>
      <c r="T634" s="45"/>
      <c r="U634" s="59">
        <v>383000538</v>
      </c>
      <c r="V634" s="58" t="s">
        <v>822</v>
      </c>
      <c r="W634" s="60" t="s">
        <v>73</v>
      </c>
      <c r="X634" s="58" t="s">
        <v>85</v>
      </c>
      <c r="Y634" s="61">
        <f>35991+(6*364)</f>
        <v>38175</v>
      </c>
      <c r="Z634" s="44">
        <f t="shared" ca="1" si="9"/>
        <v>20</v>
      </c>
    </row>
    <row r="635" spans="1:26" x14ac:dyDescent="0.25">
      <c r="A635" s="52" t="s">
        <v>492</v>
      </c>
      <c r="B635" s="52" t="s">
        <v>80</v>
      </c>
      <c r="C635" s="53">
        <v>51437</v>
      </c>
      <c r="D635" s="54">
        <v>74979</v>
      </c>
      <c r="K635" s="54"/>
      <c r="N635" s="62">
        <v>923009559</v>
      </c>
      <c r="O635" s="56">
        <v>3037172882</v>
      </c>
      <c r="P635" s="44"/>
      <c r="Q635" s="57">
        <v>31247</v>
      </c>
      <c r="R635" s="58" t="s">
        <v>87</v>
      </c>
      <c r="S635" s="45"/>
      <c r="T635" s="45"/>
      <c r="U635" s="59">
        <v>581004744</v>
      </c>
      <c r="V635" s="58" t="s">
        <v>593</v>
      </c>
      <c r="W635" s="60" t="s">
        <v>73</v>
      </c>
      <c r="X635" s="58" t="s">
        <v>107</v>
      </c>
      <c r="Y635" s="61">
        <f>37179+(6*364)</f>
        <v>39363</v>
      </c>
      <c r="Z635" s="44">
        <f t="shared" ca="1" si="9"/>
        <v>17</v>
      </c>
    </row>
    <row r="636" spans="1:26" x14ac:dyDescent="0.25">
      <c r="A636" s="52" t="s">
        <v>842</v>
      </c>
      <c r="B636" s="52" t="s">
        <v>80</v>
      </c>
      <c r="C636" s="53">
        <v>57921</v>
      </c>
      <c r="D636" s="54">
        <v>75331</v>
      </c>
      <c r="K636" s="54"/>
      <c r="N636" s="62">
        <v>925003333</v>
      </c>
      <c r="O636" s="56">
        <v>5058400261</v>
      </c>
      <c r="P636" s="44" t="s">
        <v>92</v>
      </c>
      <c r="Q636" s="57">
        <v>57992</v>
      </c>
      <c r="R636" s="58" t="s">
        <v>71</v>
      </c>
      <c r="S636" s="45"/>
      <c r="T636" s="45"/>
      <c r="U636" s="59">
        <v>839002637</v>
      </c>
      <c r="V636" s="58" t="s">
        <v>595</v>
      </c>
      <c r="W636" s="60" t="s">
        <v>84</v>
      </c>
      <c r="X636" s="58" t="s">
        <v>80</v>
      </c>
      <c r="Y636" s="61">
        <f>39065+(6*364)</f>
        <v>41249</v>
      </c>
      <c r="Z636" s="44">
        <f t="shared" ca="1" si="9"/>
        <v>12</v>
      </c>
    </row>
    <row r="637" spans="1:26" x14ac:dyDescent="0.25">
      <c r="A637" s="52" t="s">
        <v>497</v>
      </c>
      <c r="B637" s="52" t="s">
        <v>80</v>
      </c>
      <c r="C637" s="53">
        <v>77791</v>
      </c>
      <c r="D637" s="54">
        <v>91560</v>
      </c>
      <c r="K637" s="54"/>
      <c r="N637" s="62">
        <v>925009794</v>
      </c>
      <c r="O637" s="56">
        <v>3037919826</v>
      </c>
      <c r="P637" s="44" t="s">
        <v>70</v>
      </c>
      <c r="Q637" s="57">
        <v>53348</v>
      </c>
      <c r="R637" s="58" t="s">
        <v>71</v>
      </c>
      <c r="S637" s="45"/>
      <c r="T637" s="45"/>
      <c r="U637" s="59">
        <v>837005769</v>
      </c>
      <c r="V637" s="58" t="s">
        <v>405</v>
      </c>
      <c r="W637" s="60" t="s">
        <v>84</v>
      </c>
      <c r="X637" s="58" t="s">
        <v>85</v>
      </c>
      <c r="Y637" s="61">
        <f>35978+(6*364)</f>
        <v>38162</v>
      </c>
      <c r="Z637" s="44">
        <f t="shared" ca="1" si="9"/>
        <v>20</v>
      </c>
    </row>
    <row r="638" spans="1:26" x14ac:dyDescent="0.25">
      <c r="A638" s="52" t="s">
        <v>531</v>
      </c>
      <c r="B638" s="52" t="s">
        <v>80</v>
      </c>
      <c r="C638" s="53">
        <v>97663</v>
      </c>
      <c r="D638" s="54">
        <v>67403</v>
      </c>
      <c r="K638" s="54"/>
      <c r="N638" s="62">
        <v>928008012</v>
      </c>
      <c r="O638" s="56">
        <v>5055998691</v>
      </c>
      <c r="P638" s="44"/>
      <c r="Q638" s="57">
        <v>69116</v>
      </c>
      <c r="R638" s="58" t="s">
        <v>87</v>
      </c>
      <c r="S638" s="45"/>
      <c r="T638" s="45"/>
      <c r="U638" s="59">
        <v>557004736</v>
      </c>
      <c r="V638" s="58" t="s">
        <v>789</v>
      </c>
      <c r="W638" s="60" t="s">
        <v>84</v>
      </c>
      <c r="X638" s="58" t="s">
        <v>173</v>
      </c>
      <c r="Y638" s="61">
        <f>39549+(6*364)</f>
        <v>41733</v>
      </c>
      <c r="Z638" s="44">
        <f t="shared" ca="1" si="9"/>
        <v>10</v>
      </c>
    </row>
    <row r="639" spans="1:26" x14ac:dyDescent="0.25">
      <c r="A639" s="52" t="s">
        <v>563</v>
      </c>
      <c r="B639" s="52" t="s">
        <v>80</v>
      </c>
      <c r="C639" s="53">
        <v>53181</v>
      </c>
      <c r="D639" s="54">
        <v>62070</v>
      </c>
      <c r="K639" s="54"/>
      <c r="N639" s="62">
        <v>928008786</v>
      </c>
      <c r="O639" s="56">
        <v>3035157707</v>
      </c>
      <c r="P639" s="44" t="s">
        <v>99</v>
      </c>
      <c r="Q639" s="57">
        <v>89000</v>
      </c>
      <c r="R639" s="58" t="s">
        <v>71</v>
      </c>
      <c r="S639" s="45"/>
      <c r="T639" s="45"/>
      <c r="U639" s="59">
        <v>516001018</v>
      </c>
      <c r="V639" s="58" t="s">
        <v>130</v>
      </c>
      <c r="W639" s="60" t="s">
        <v>84</v>
      </c>
      <c r="X639" s="58" t="s">
        <v>107</v>
      </c>
      <c r="Y639" s="61">
        <f>36920+(6*364)</f>
        <v>39104</v>
      </c>
      <c r="Z639" s="44">
        <f t="shared" ca="1" si="9"/>
        <v>18</v>
      </c>
    </row>
    <row r="640" spans="1:26" x14ac:dyDescent="0.25">
      <c r="A640" s="52" t="s">
        <v>573</v>
      </c>
      <c r="B640" s="52" t="s">
        <v>80</v>
      </c>
      <c r="C640" s="53">
        <v>90005</v>
      </c>
      <c r="D640" s="54">
        <v>70832</v>
      </c>
      <c r="K640" s="54"/>
      <c r="N640" s="62">
        <v>930003657</v>
      </c>
      <c r="O640" s="56">
        <v>5056650531</v>
      </c>
      <c r="P640" s="44" t="s">
        <v>99</v>
      </c>
      <c r="Q640" s="57">
        <v>74278</v>
      </c>
      <c r="R640" s="58" t="s">
        <v>77</v>
      </c>
      <c r="S640" s="45"/>
      <c r="T640" s="45"/>
      <c r="U640" s="59">
        <v>586008430</v>
      </c>
      <c r="V640" s="58" t="s">
        <v>834</v>
      </c>
      <c r="W640" s="60" t="s">
        <v>101</v>
      </c>
      <c r="X640" s="58" t="s">
        <v>205</v>
      </c>
      <c r="Y640" s="61">
        <f>35210+(6*364)</f>
        <v>37394</v>
      </c>
      <c r="Z640" s="44">
        <f t="shared" ca="1" si="9"/>
        <v>22</v>
      </c>
    </row>
    <row r="641" spans="1:26" x14ac:dyDescent="0.25">
      <c r="A641" s="52" t="s">
        <v>584</v>
      </c>
      <c r="B641" s="52" t="s">
        <v>80</v>
      </c>
      <c r="C641" s="53">
        <v>71227</v>
      </c>
      <c r="D641" s="54">
        <v>134435</v>
      </c>
      <c r="K641" s="54"/>
      <c r="N641" s="62">
        <v>930009968</v>
      </c>
      <c r="O641" s="56">
        <v>9705089157</v>
      </c>
      <c r="P641" s="44" t="s">
        <v>92</v>
      </c>
      <c r="Q641" s="57">
        <v>127835</v>
      </c>
      <c r="R641" s="58" t="s">
        <v>71</v>
      </c>
      <c r="S641" s="45"/>
      <c r="T641" s="45"/>
      <c r="U641" s="59">
        <v>751003836</v>
      </c>
      <c r="V641" s="58" t="s">
        <v>823</v>
      </c>
      <c r="W641" s="60" t="s">
        <v>73</v>
      </c>
      <c r="X641" s="58" t="s">
        <v>173</v>
      </c>
      <c r="Y641" s="61">
        <f>38236+(6*364)</f>
        <v>40420</v>
      </c>
      <c r="Z641" s="44">
        <f t="shared" ca="1" si="9"/>
        <v>14</v>
      </c>
    </row>
    <row r="642" spans="1:26" x14ac:dyDescent="0.25">
      <c r="A642" s="52" t="s">
        <v>586</v>
      </c>
      <c r="B642" s="52" t="s">
        <v>80</v>
      </c>
      <c r="C642" s="53">
        <v>46015</v>
      </c>
      <c r="D642" s="54">
        <v>60878</v>
      </c>
      <c r="K642" s="54"/>
      <c r="N642" s="62">
        <v>931006967</v>
      </c>
      <c r="O642" s="56">
        <v>9704694995</v>
      </c>
      <c r="P642" s="44" t="s">
        <v>70</v>
      </c>
      <c r="Q642" s="57">
        <v>118731</v>
      </c>
      <c r="R642" s="58" t="s">
        <v>71</v>
      </c>
      <c r="S642" s="45"/>
      <c r="T642" s="45"/>
      <c r="U642" s="59">
        <v>239007621</v>
      </c>
      <c r="V642" s="58" t="s">
        <v>265</v>
      </c>
      <c r="W642" s="60" t="s">
        <v>89</v>
      </c>
      <c r="X642" s="58" t="s">
        <v>104</v>
      </c>
      <c r="Y642" s="61">
        <f>36035+(6*364)</f>
        <v>38219</v>
      </c>
      <c r="Z642" s="44">
        <f t="shared" ref="Z642:Z699" ca="1" si="10">DATEDIF(Y642,TODAY(),"Y")</f>
        <v>20</v>
      </c>
    </row>
    <row r="643" spans="1:26" x14ac:dyDescent="0.25">
      <c r="A643" s="52" t="s">
        <v>594</v>
      </c>
      <c r="B643" s="52" t="s">
        <v>80</v>
      </c>
      <c r="C643" s="53">
        <v>60745</v>
      </c>
      <c r="D643" s="54">
        <v>61422</v>
      </c>
      <c r="K643" s="54"/>
      <c r="N643" s="62">
        <v>931009689</v>
      </c>
      <c r="O643" s="56">
        <v>3038652588</v>
      </c>
      <c r="P643" s="44" t="s">
        <v>92</v>
      </c>
      <c r="Q643" s="57">
        <v>60450</v>
      </c>
      <c r="R643" s="58" t="s">
        <v>71</v>
      </c>
      <c r="S643" s="45"/>
      <c r="T643" s="45"/>
      <c r="U643" s="59">
        <v>203002848</v>
      </c>
      <c r="V643" s="58" t="s">
        <v>267</v>
      </c>
      <c r="W643" s="60" t="s">
        <v>89</v>
      </c>
      <c r="X643" s="58" t="s">
        <v>90</v>
      </c>
      <c r="Y643" s="61">
        <f>41469+(6*364)</f>
        <v>43653</v>
      </c>
      <c r="Z643" s="44">
        <f t="shared" ca="1" si="10"/>
        <v>5</v>
      </c>
    </row>
    <row r="644" spans="1:26" x14ac:dyDescent="0.25">
      <c r="A644" s="52" t="s">
        <v>602</v>
      </c>
      <c r="B644" s="52" t="s">
        <v>80</v>
      </c>
      <c r="C644" s="53">
        <v>74123</v>
      </c>
      <c r="D644" s="54">
        <v>31539</v>
      </c>
      <c r="K644" s="54"/>
      <c r="N644" s="62">
        <v>934008045</v>
      </c>
      <c r="O644" s="56">
        <v>3035228292</v>
      </c>
      <c r="P644" s="44" t="s">
        <v>99</v>
      </c>
      <c r="Q644" s="57">
        <v>65825</v>
      </c>
      <c r="R644" s="58" t="s">
        <v>71</v>
      </c>
      <c r="S644" s="45"/>
      <c r="T644" s="45"/>
      <c r="U644" s="59">
        <v>394006818</v>
      </c>
      <c r="V644" s="58" t="s">
        <v>697</v>
      </c>
      <c r="W644" s="60" t="s">
        <v>89</v>
      </c>
      <c r="X644" s="58" t="s">
        <v>80</v>
      </c>
      <c r="Y644" s="61">
        <f>37288+(6*364)</f>
        <v>39472</v>
      </c>
      <c r="Z644" s="44">
        <f t="shared" ca="1" si="10"/>
        <v>17</v>
      </c>
    </row>
    <row r="645" spans="1:26" x14ac:dyDescent="0.25">
      <c r="A645" s="52" t="s">
        <v>648</v>
      </c>
      <c r="B645" s="52" t="s">
        <v>80</v>
      </c>
      <c r="C645" s="53">
        <v>92622</v>
      </c>
      <c r="D645" s="54">
        <v>77066</v>
      </c>
      <c r="K645" s="54"/>
      <c r="N645" s="62">
        <v>935007881</v>
      </c>
      <c r="O645" s="56">
        <v>3033679666</v>
      </c>
      <c r="P645" s="44" t="s">
        <v>82</v>
      </c>
      <c r="Q645" s="57">
        <v>50312</v>
      </c>
      <c r="R645" s="58" t="s">
        <v>71</v>
      </c>
      <c r="S645" s="45"/>
      <c r="T645" s="45"/>
      <c r="U645" s="59">
        <v>302006593</v>
      </c>
      <c r="V645" s="58" t="s">
        <v>835</v>
      </c>
      <c r="W645" s="60" t="s">
        <v>79</v>
      </c>
      <c r="X645" s="58" t="s">
        <v>94</v>
      </c>
      <c r="Y645" s="61">
        <f>35091+(6*364)</f>
        <v>37275</v>
      </c>
      <c r="Z645" s="44">
        <f t="shared" ca="1" si="10"/>
        <v>23</v>
      </c>
    </row>
    <row r="646" spans="1:26" x14ac:dyDescent="0.25">
      <c r="A646" s="52" t="s">
        <v>655</v>
      </c>
      <c r="B646" s="52" t="s">
        <v>80</v>
      </c>
      <c r="C646" s="53">
        <v>87720</v>
      </c>
      <c r="D646" s="54">
        <v>91387</v>
      </c>
      <c r="K646" s="54"/>
      <c r="N646" s="62">
        <v>936001320</v>
      </c>
      <c r="O646" s="56">
        <v>3032456406</v>
      </c>
      <c r="P646" s="44"/>
      <c r="Q646" s="57">
        <v>84016</v>
      </c>
      <c r="R646" s="58" t="s">
        <v>87</v>
      </c>
      <c r="S646" s="45"/>
      <c r="T646" s="45"/>
      <c r="U646" s="59">
        <v>766004790</v>
      </c>
      <c r="V646" s="58" t="s">
        <v>836</v>
      </c>
      <c r="W646" s="60" t="s">
        <v>89</v>
      </c>
      <c r="X646" s="58" t="s">
        <v>205</v>
      </c>
      <c r="Y646" s="61">
        <f>35460+(6*364)</f>
        <v>37644</v>
      </c>
      <c r="Z646" s="44">
        <f t="shared" ca="1" si="10"/>
        <v>22</v>
      </c>
    </row>
    <row r="647" spans="1:26" x14ac:dyDescent="0.25">
      <c r="A647" s="52" t="s">
        <v>668</v>
      </c>
      <c r="B647" s="52" t="s">
        <v>80</v>
      </c>
      <c r="C647" s="53">
        <v>79793</v>
      </c>
      <c r="D647" s="54">
        <v>119663</v>
      </c>
      <c r="K647" s="54"/>
      <c r="N647" s="62">
        <v>936003296</v>
      </c>
      <c r="O647" s="56">
        <v>5054618773</v>
      </c>
      <c r="P647" s="44" t="s">
        <v>99</v>
      </c>
      <c r="Q647" s="57">
        <v>62765</v>
      </c>
      <c r="R647" s="58" t="s">
        <v>71</v>
      </c>
      <c r="S647" s="45"/>
      <c r="T647" s="45"/>
      <c r="U647" s="59">
        <v>998001277</v>
      </c>
      <c r="V647" s="58" t="s">
        <v>596</v>
      </c>
      <c r="W647" s="60" t="s">
        <v>101</v>
      </c>
      <c r="X647" s="58" t="s">
        <v>74</v>
      </c>
      <c r="Y647" s="61">
        <f>38006+(6*364)</f>
        <v>40190</v>
      </c>
      <c r="Z647" s="44">
        <f t="shared" ca="1" si="10"/>
        <v>15</v>
      </c>
    </row>
    <row r="648" spans="1:26" x14ac:dyDescent="0.25">
      <c r="A648" s="52" t="s">
        <v>671</v>
      </c>
      <c r="B648" s="52" t="s">
        <v>80</v>
      </c>
      <c r="C648" s="53">
        <v>96042</v>
      </c>
      <c r="D648" s="54">
        <v>96625</v>
      </c>
      <c r="K648" s="54"/>
      <c r="N648" s="62">
        <v>939001494</v>
      </c>
      <c r="O648" s="56">
        <v>5051797370</v>
      </c>
      <c r="P648" s="44" t="s">
        <v>70</v>
      </c>
      <c r="Q648" s="57">
        <v>98206</v>
      </c>
      <c r="R648" s="58" t="s">
        <v>71</v>
      </c>
      <c r="S648" s="45"/>
      <c r="T648" s="45"/>
      <c r="U648" s="59">
        <v>996000663</v>
      </c>
      <c r="V648" s="58" t="s">
        <v>597</v>
      </c>
      <c r="W648" s="60" t="s">
        <v>73</v>
      </c>
      <c r="X648" s="58" t="s">
        <v>80</v>
      </c>
      <c r="Y648" s="61">
        <f>35898+(6*364)</f>
        <v>38082</v>
      </c>
      <c r="Z648" s="44">
        <f t="shared" ca="1" si="10"/>
        <v>20</v>
      </c>
    </row>
    <row r="649" spans="1:26" x14ac:dyDescent="0.25">
      <c r="A649" s="52" t="s">
        <v>677</v>
      </c>
      <c r="B649" s="52" t="s">
        <v>80</v>
      </c>
      <c r="C649" s="53">
        <v>51646</v>
      </c>
      <c r="D649" s="54">
        <v>44933</v>
      </c>
      <c r="K649" s="54"/>
      <c r="N649" s="62">
        <v>939001919</v>
      </c>
      <c r="O649" s="56">
        <v>7192094386</v>
      </c>
      <c r="P649" s="44"/>
      <c r="Q649" s="57">
        <v>33496</v>
      </c>
      <c r="R649" s="58" t="s">
        <v>87</v>
      </c>
      <c r="S649" s="45"/>
      <c r="T649" s="45"/>
      <c r="U649" s="59">
        <v>665009296</v>
      </c>
      <c r="V649" s="58" t="s">
        <v>698</v>
      </c>
      <c r="W649" s="60" t="s">
        <v>154</v>
      </c>
      <c r="X649" s="58" t="s">
        <v>173</v>
      </c>
      <c r="Y649" s="61">
        <f>39717+(6*364)</f>
        <v>41901</v>
      </c>
      <c r="Z649" s="44">
        <f t="shared" ca="1" si="10"/>
        <v>10</v>
      </c>
    </row>
    <row r="650" spans="1:26" x14ac:dyDescent="0.25">
      <c r="A650" s="52" t="s">
        <v>699</v>
      </c>
      <c r="B650" s="52" t="s">
        <v>80</v>
      </c>
      <c r="C650" s="53">
        <v>85001</v>
      </c>
      <c r="D650" s="54">
        <v>72679</v>
      </c>
      <c r="K650" s="54"/>
      <c r="N650" s="62">
        <v>939009698</v>
      </c>
      <c r="O650" s="56">
        <v>7198443818</v>
      </c>
      <c r="P650" s="44" t="s">
        <v>92</v>
      </c>
      <c r="Q650" s="57">
        <v>114456</v>
      </c>
      <c r="R650" s="58" t="s">
        <v>71</v>
      </c>
      <c r="S650" s="45"/>
      <c r="T650" s="45"/>
      <c r="U650" s="59">
        <v>712002659</v>
      </c>
      <c r="V650" s="58" t="s">
        <v>824</v>
      </c>
      <c r="W650" s="60" t="s">
        <v>73</v>
      </c>
      <c r="X650" s="58" t="s">
        <v>94</v>
      </c>
      <c r="Y650" s="61">
        <f>36582+(6*364)</f>
        <v>38766</v>
      </c>
      <c r="Z650" s="44">
        <f t="shared" ca="1" si="10"/>
        <v>19</v>
      </c>
    </row>
    <row r="651" spans="1:26" x14ac:dyDescent="0.25">
      <c r="A651" s="52" t="s">
        <v>710</v>
      </c>
      <c r="B651" s="52" t="s">
        <v>80</v>
      </c>
      <c r="C651" s="53">
        <v>51097</v>
      </c>
      <c r="D651" s="54">
        <v>58816</v>
      </c>
      <c r="K651" s="54"/>
      <c r="N651" s="62">
        <v>940008237</v>
      </c>
      <c r="O651" s="56">
        <v>7194630903</v>
      </c>
      <c r="P651" s="44"/>
      <c r="Q651" s="57">
        <v>35652</v>
      </c>
      <c r="R651" s="58" t="s">
        <v>87</v>
      </c>
      <c r="S651" s="45"/>
      <c r="T651" s="45"/>
      <c r="U651" s="59">
        <v>988009541</v>
      </c>
      <c r="V651" s="58" t="s">
        <v>599</v>
      </c>
      <c r="W651" s="60" t="s">
        <v>73</v>
      </c>
      <c r="X651" s="58" t="s">
        <v>85</v>
      </c>
      <c r="Y651" s="61">
        <f>36101+(6*364)</f>
        <v>38285</v>
      </c>
      <c r="Z651" s="44">
        <f t="shared" ca="1" si="10"/>
        <v>20</v>
      </c>
    </row>
    <row r="652" spans="1:26" x14ac:dyDescent="0.25">
      <c r="A652" s="52" t="s">
        <v>711</v>
      </c>
      <c r="B652" s="52" t="s">
        <v>80</v>
      </c>
      <c r="C652" s="53">
        <v>11942</v>
      </c>
      <c r="D652" s="54">
        <v>79062</v>
      </c>
      <c r="K652" s="54"/>
      <c r="N652" s="62">
        <v>940008618</v>
      </c>
      <c r="O652" s="56">
        <v>3032400511</v>
      </c>
      <c r="P652" s="44"/>
      <c r="Q652" s="57">
        <v>84269</v>
      </c>
      <c r="R652" s="58" t="s">
        <v>87</v>
      </c>
      <c r="S652" s="45"/>
      <c r="T652" s="45"/>
      <c r="U652" s="59">
        <v>408004172</v>
      </c>
      <c r="V652" s="58" t="s">
        <v>837</v>
      </c>
      <c r="W652" s="60" t="s">
        <v>89</v>
      </c>
      <c r="X652" s="58" t="s">
        <v>147</v>
      </c>
      <c r="Y652" s="61">
        <f>37885+(6*364)</f>
        <v>40069</v>
      </c>
      <c r="Z652" s="44">
        <f t="shared" ca="1" si="10"/>
        <v>15</v>
      </c>
    </row>
    <row r="653" spans="1:26" x14ac:dyDescent="0.25">
      <c r="A653" s="52" t="s">
        <v>713</v>
      </c>
      <c r="B653" s="52" t="s">
        <v>80</v>
      </c>
      <c r="C653" s="53">
        <v>56834</v>
      </c>
      <c r="D653" s="54">
        <v>111353</v>
      </c>
      <c r="K653" s="54"/>
      <c r="N653" s="62">
        <v>942002169</v>
      </c>
      <c r="O653" s="56">
        <v>5053547588</v>
      </c>
      <c r="P653" s="44" t="s">
        <v>92</v>
      </c>
      <c r="Q653" s="57">
        <v>80622</v>
      </c>
      <c r="R653" s="58" t="s">
        <v>71</v>
      </c>
      <c r="S653" s="45"/>
      <c r="T653" s="45"/>
      <c r="U653" s="59">
        <v>552006693</v>
      </c>
      <c r="V653" s="58" t="s">
        <v>838</v>
      </c>
      <c r="W653" s="60" t="s">
        <v>73</v>
      </c>
      <c r="X653" s="58" t="s">
        <v>85</v>
      </c>
      <c r="Y653" s="61">
        <f>37471+(6*364)</f>
        <v>39655</v>
      </c>
      <c r="Z653" s="44">
        <f t="shared" ca="1" si="10"/>
        <v>16</v>
      </c>
    </row>
    <row r="654" spans="1:26" x14ac:dyDescent="0.25">
      <c r="A654" s="52" t="s">
        <v>715</v>
      </c>
      <c r="B654" s="52" t="s">
        <v>80</v>
      </c>
      <c r="C654" s="53">
        <v>13108</v>
      </c>
      <c r="D654" s="54">
        <v>101675</v>
      </c>
      <c r="K654" s="54"/>
      <c r="N654" s="62">
        <v>943009635</v>
      </c>
      <c r="O654" s="56">
        <v>5058742282</v>
      </c>
      <c r="P654" s="44" t="s">
        <v>82</v>
      </c>
      <c r="Q654" s="57">
        <v>107930</v>
      </c>
      <c r="R654" s="58" t="s">
        <v>71</v>
      </c>
      <c r="S654" s="45"/>
      <c r="T654" s="45"/>
      <c r="U654" s="59">
        <v>214004063</v>
      </c>
      <c r="V654" s="58" t="s">
        <v>269</v>
      </c>
      <c r="W654" s="60" t="s">
        <v>89</v>
      </c>
      <c r="X654" s="58" t="s">
        <v>190</v>
      </c>
      <c r="Y654" s="61">
        <f>42440+(6*364)</f>
        <v>44624</v>
      </c>
      <c r="Z654" s="44">
        <f t="shared" ca="1" si="10"/>
        <v>2</v>
      </c>
    </row>
    <row r="655" spans="1:26" x14ac:dyDescent="0.25">
      <c r="A655" s="52" t="s">
        <v>718</v>
      </c>
      <c r="B655" s="52" t="s">
        <v>80</v>
      </c>
      <c r="C655" s="53">
        <v>13750</v>
      </c>
      <c r="D655" s="54">
        <v>75932</v>
      </c>
      <c r="K655" s="54"/>
      <c r="N655" s="62">
        <v>944004072</v>
      </c>
      <c r="O655" s="56">
        <v>7197722509</v>
      </c>
      <c r="P655" s="44" t="s">
        <v>99</v>
      </c>
      <c r="Q655" s="57">
        <v>107182</v>
      </c>
      <c r="R655" s="58" t="s">
        <v>77</v>
      </c>
      <c r="S655" s="45"/>
      <c r="T655" s="45"/>
      <c r="U655" s="59">
        <v>543008652</v>
      </c>
      <c r="V655" s="58" t="s">
        <v>825</v>
      </c>
      <c r="W655" s="60" t="s">
        <v>89</v>
      </c>
      <c r="X655" s="58" t="s">
        <v>90</v>
      </c>
      <c r="Y655" s="61">
        <f>39433+(6*364)</f>
        <v>41617</v>
      </c>
      <c r="Z655" s="44">
        <f t="shared" ca="1" si="10"/>
        <v>11</v>
      </c>
    </row>
    <row r="656" spans="1:26" x14ac:dyDescent="0.25">
      <c r="A656" s="52" t="s">
        <v>720</v>
      </c>
      <c r="B656" s="52" t="s">
        <v>80</v>
      </c>
      <c r="C656" s="53">
        <v>63298</v>
      </c>
      <c r="D656" s="54">
        <v>39212</v>
      </c>
      <c r="K656" s="54"/>
      <c r="N656" s="62">
        <v>945004471</v>
      </c>
      <c r="O656" s="56">
        <v>3034944945</v>
      </c>
      <c r="P656" s="44"/>
      <c r="Q656" s="57">
        <v>93935</v>
      </c>
      <c r="R656" s="58" t="s">
        <v>87</v>
      </c>
      <c r="S656" s="45"/>
      <c r="T656" s="45"/>
      <c r="U656" s="59">
        <v>667003548</v>
      </c>
      <c r="V656" s="58" t="s">
        <v>826</v>
      </c>
      <c r="W656" s="60" t="s">
        <v>73</v>
      </c>
      <c r="X656" s="58" t="s">
        <v>90</v>
      </c>
      <c r="Y656" s="61">
        <f>38355+(6*364)</f>
        <v>40539</v>
      </c>
      <c r="Z656" s="44">
        <f t="shared" ca="1" si="10"/>
        <v>14</v>
      </c>
    </row>
    <row r="657" spans="1:26" x14ac:dyDescent="0.25">
      <c r="A657" s="52" t="s">
        <v>731</v>
      </c>
      <c r="B657" s="52" t="s">
        <v>80</v>
      </c>
      <c r="C657" s="53">
        <v>23296</v>
      </c>
      <c r="D657" s="54">
        <v>79278</v>
      </c>
      <c r="K657" s="54"/>
      <c r="N657" s="62">
        <v>945007891</v>
      </c>
      <c r="O657" s="56">
        <v>5055918708</v>
      </c>
      <c r="P657" s="44" t="s">
        <v>92</v>
      </c>
      <c r="Q657" s="57">
        <v>86627</v>
      </c>
      <c r="R657" s="58" t="s">
        <v>71</v>
      </c>
      <c r="S657" s="45"/>
      <c r="T657" s="45"/>
      <c r="U657" s="59">
        <v>551001165</v>
      </c>
      <c r="V657" s="58" t="s">
        <v>790</v>
      </c>
      <c r="W657" s="60" t="s">
        <v>73</v>
      </c>
      <c r="X657" s="58" t="s">
        <v>80</v>
      </c>
      <c r="Y657" s="61">
        <f>35486+(6*364)</f>
        <v>37670</v>
      </c>
      <c r="Z657" s="44">
        <f t="shared" ca="1" si="10"/>
        <v>22</v>
      </c>
    </row>
    <row r="658" spans="1:26" x14ac:dyDescent="0.25">
      <c r="A658" s="52" t="s">
        <v>741</v>
      </c>
      <c r="B658" s="52" t="s">
        <v>80</v>
      </c>
      <c r="C658" s="53">
        <v>29795</v>
      </c>
      <c r="D658" s="54">
        <v>98386</v>
      </c>
      <c r="K658" s="54"/>
      <c r="N658" s="62">
        <v>945008417</v>
      </c>
      <c r="O658" s="56">
        <v>3037853314</v>
      </c>
      <c r="P658" s="44"/>
      <c r="Q658" s="57">
        <v>84386</v>
      </c>
      <c r="R658" s="58" t="s">
        <v>87</v>
      </c>
      <c r="S658" s="45"/>
      <c r="T658" s="45"/>
      <c r="U658" s="59">
        <v>902004006</v>
      </c>
      <c r="V658" s="58" t="s">
        <v>601</v>
      </c>
      <c r="W658" s="60" t="s">
        <v>73</v>
      </c>
      <c r="X658" s="58" t="s">
        <v>90</v>
      </c>
      <c r="Y658" s="61">
        <f>37109+(6*364)</f>
        <v>39293</v>
      </c>
      <c r="Z658" s="44">
        <f t="shared" ca="1" si="10"/>
        <v>17</v>
      </c>
    </row>
    <row r="659" spans="1:26" x14ac:dyDescent="0.25">
      <c r="A659" s="52" t="s">
        <v>743</v>
      </c>
      <c r="B659" s="52" t="s">
        <v>80</v>
      </c>
      <c r="C659" s="53">
        <v>17140</v>
      </c>
      <c r="D659" s="54">
        <v>121162</v>
      </c>
      <c r="K659" s="54"/>
      <c r="N659" s="62">
        <v>946006578</v>
      </c>
      <c r="O659" s="56">
        <v>7198922252</v>
      </c>
      <c r="P659" s="44" t="s">
        <v>82</v>
      </c>
      <c r="Q659" s="57">
        <v>72561</v>
      </c>
      <c r="R659" s="58" t="s">
        <v>71</v>
      </c>
      <c r="S659" s="45"/>
      <c r="T659" s="45"/>
      <c r="U659" s="59">
        <v>904001329</v>
      </c>
      <c r="V659" s="58" t="s">
        <v>827</v>
      </c>
      <c r="W659" s="60" t="s">
        <v>79</v>
      </c>
      <c r="X659" s="58" t="s">
        <v>96</v>
      </c>
      <c r="Y659" s="61">
        <f>41628+(6*364)</f>
        <v>43812</v>
      </c>
      <c r="Z659" s="44">
        <f t="shared" ca="1" si="10"/>
        <v>5</v>
      </c>
    </row>
    <row r="660" spans="1:26" x14ac:dyDescent="0.25">
      <c r="A660" s="52" t="s">
        <v>758</v>
      </c>
      <c r="B660" s="52" t="s">
        <v>80</v>
      </c>
      <c r="C660" s="53">
        <v>71999</v>
      </c>
      <c r="D660" s="54">
        <v>118872</v>
      </c>
      <c r="K660" s="54"/>
      <c r="N660" s="62">
        <v>947002808</v>
      </c>
      <c r="O660" s="56">
        <v>7196798743</v>
      </c>
      <c r="P660" s="44" t="s">
        <v>99</v>
      </c>
      <c r="Q660" s="57">
        <v>108125</v>
      </c>
      <c r="R660" s="58" t="s">
        <v>71</v>
      </c>
      <c r="S660" s="45"/>
      <c r="T660" s="45"/>
      <c r="U660" s="59">
        <v>479000468</v>
      </c>
      <c r="V660" s="58" t="s">
        <v>839</v>
      </c>
      <c r="W660" s="60" t="s">
        <v>73</v>
      </c>
      <c r="X660" s="58" t="s">
        <v>281</v>
      </c>
      <c r="Y660" s="61">
        <f>35927+(6*364)</f>
        <v>38111</v>
      </c>
      <c r="Z660" s="44">
        <f t="shared" ca="1" si="10"/>
        <v>20</v>
      </c>
    </row>
    <row r="661" spans="1:26" x14ac:dyDescent="0.25">
      <c r="A661" s="52" t="s">
        <v>759</v>
      </c>
      <c r="B661" s="52" t="s">
        <v>80</v>
      </c>
      <c r="C661" s="53">
        <v>21669</v>
      </c>
      <c r="D661" s="54">
        <v>63365</v>
      </c>
      <c r="K661" s="54"/>
      <c r="N661" s="62">
        <v>948009941</v>
      </c>
      <c r="O661" s="56">
        <v>5054744493</v>
      </c>
      <c r="P661" s="44"/>
      <c r="Q661" s="57">
        <v>92533</v>
      </c>
      <c r="R661" s="58" t="s">
        <v>109</v>
      </c>
      <c r="S661" s="45"/>
      <c r="T661" s="45"/>
      <c r="U661" s="59">
        <v>204009406</v>
      </c>
      <c r="V661" s="58" t="s">
        <v>752</v>
      </c>
      <c r="W661" s="60" t="s">
        <v>73</v>
      </c>
      <c r="X661" s="58" t="s">
        <v>80</v>
      </c>
      <c r="Y661" s="61">
        <f>38473+(6*364)</f>
        <v>40657</v>
      </c>
      <c r="Z661" s="44">
        <f t="shared" ca="1" si="10"/>
        <v>13</v>
      </c>
    </row>
    <row r="662" spans="1:26" x14ac:dyDescent="0.25">
      <c r="A662" s="52" t="s">
        <v>764</v>
      </c>
      <c r="B662" s="52" t="s">
        <v>80</v>
      </c>
      <c r="C662" s="53">
        <v>38039</v>
      </c>
      <c r="D662" s="54">
        <v>57386</v>
      </c>
      <c r="K662" s="54"/>
      <c r="N662" s="62">
        <v>949003495</v>
      </c>
      <c r="O662" s="56">
        <v>3033539483</v>
      </c>
      <c r="P662" s="44" t="s">
        <v>70</v>
      </c>
      <c r="Q662" s="57">
        <v>68054</v>
      </c>
      <c r="R662" s="58" t="s">
        <v>71</v>
      </c>
      <c r="S662" s="45"/>
      <c r="T662" s="45"/>
      <c r="U662" s="59">
        <v>168009763</v>
      </c>
      <c r="V662" s="58" t="s">
        <v>603</v>
      </c>
      <c r="W662" s="60" t="s">
        <v>89</v>
      </c>
      <c r="X662" s="58" t="s">
        <v>205</v>
      </c>
      <c r="Y662" s="61">
        <f>35037+(6*364)</f>
        <v>37221</v>
      </c>
      <c r="Z662" s="44">
        <f t="shared" ca="1" si="10"/>
        <v>23</v>
      </c>
    </row>
    <row r="663" spans="1:26" x14ac:dyDescent="0.25">
      <c r="A663" s="52" t="s">
        <v>773</v>
      </c>
      <c r="B663" s="52" t="s">
        <v>80</v>
      </c>
      <c r="C663" s="53">
        <v>96339</v>
      </c>
      <c r="D663" s="54">
        <v>78056</v>
      </c>
      <c r="K663" s="54"/>
      <c r="N663" s="62">
        <v>950008174</v>
      </c>
      <c r="O663" s="56">
        <v>9702490678</v>
      </c>
      <c r="P663" s="44" t="s">
        <v>99</v>
      </c>
      <c r="Q663" s="57">
        <v>118245</v>
      </c>
      <c r="R663" s="58" t="s">
        <v>71</v>
      </c>
      <c r="S663" s="45"/>
      <c r="T663" s="45"/>
      <c r="U663" s="59">
        <v>398000380</v>
      </c>
      <c r="V663" s="58" t="s">
        <v>605</v>
      </c>
      <c r="W663" s="60" t="s">
        <v>101</v>
      </c>
      <c r="X663" s="58" t="s">
        <v>147</v>
      </c>
      <c r="Y663" s="61">
        <f>37648+(6*364)</f>
        <v>39832</v>
      </c>
      <c r="Z663" s="44">
        <f t="shared" ca="1" si="10"/>
        <v>16</v>
      </c>
    </row>
    <row r="664" spans="1:26" x14ac:dyDescent="0.25">
      <c r="A664" s="52" t="s">
        <v>777</v>
      </c>
      <c r="B664" s="52" t="s">
        <v>80</v>
      </c>
      <c r="C664" s="53">
        <v>39028</v>
      </c>
      <c r="D664" s="54">
        <v>94370</v>
      </c>
      <c r="K664" s="54"/>
      <c r="N664" s="62">
        <v>951007110</v>
      </c>
      <c r="O664" s="56">
        <v>5051351512</v>
      </c>
      <c r="P664" s="44"/>
      <c r="Q664" s="57">
        <v>96330</v>
      </c>
      <c r="R664" s="58" t="s">
        <v>87</v>
      </c>
      <c r="S664" s="45"/>
      <c r="T664" s="45"/>
      <c r="U664" s="59">
        <v>931009689</v>
      </c>
      <c r="V664" s="58" t="s">
        <v>606</v>
      </c>
      <c r="W664" s="60" t="s">
        <v>154</v>
      </c>
      <c r="X664" s="58" t="s">
        <v>90</v>
      </c>
      <c r="Y664" s="61">
        <f>39153+(6*364)</f>
        <v>41337</v>
      </c>
      <c r="Z664" s="44">
        <f t="shared" ca="1" si="10"/>
        <v>11</v>
      </c>
    </row>
    <row r="665" spans="1:26" x14ac:dyDescent="0.25">
      <c r="A665" s="52" t="s">
        <v>780</v>
      </c>
      <c r="B665" s="52" t="s">
        <v>80</v>
      </c>
      <c r="C665" s="53">
        <v>66060</v>
      </c>
      <c r="D665" s="54">
        <v>76484</v>
      </c>
      <c r="K665" s="54"/>
      <c r="N665" s="62">
        <v>953001503</v>
      </c>
      <c r="O665" s="56">
        <v>9703327522</v>
      </c>
      <c r="P665" s="44" t="s">
        <v>92</v>
      </c>
      <c r="Q665" s="57">
        <v>94543</v>
      </c>
      <c r="R665" s="58" t="s">
        <v>71</v>
      </c>
      <c r="S665" s="45"/>
      <c r="T665" s="45"/>
      <c r="U665" s="59">
        <v>479004243</v>
      </c>
      <c r="V665" s="58" t="s">
        <v>700</v>
      </c>
      <c r="W665" s="60" t="s">
        <v>154</v>
      </c>
      <c r="X665" s="58" t="s">
        <v>173</v>
      </c>
      <c r="Y665" s="61">
        <f>42002+(6*364)</f>
        <v>44186</v>
      </c>
      <c r="Z665" s="44">
        <f t="shared" ca="1" si="10"/>
        <v>4</v>
      </c>
    </row>
    <row r="666" spans="1:26" x14ac:dyDescent="0.25">
      <c r="A666" s="52" t="s">
        <v>798</v>
      </c>
      <c r="B666" s="52" t="s">
        <v>80</v>
      </c>
      <c r="C666" s="53">
        <v>81573</v>
      </c>
      <c r="D666" s="54">
        <v>76878</v>
      </c>
      <c r="K666" s="54"/>
      <c r="N666" s="62">
        <v>954004951</v>
      </c>
      <c r="O666" s="56">
        <v>9704269081</v>
      </c>
      <c r="P666" s="44" t="s">
        <v>92</v>
      </c>
      <c r="Q666" s="57">
        <v>38996</v>
      </c>
      <c r="R666" s="58" t="s">
        <v>71</v>
      </c>
      <c r="S666" s="45"/>
      <c r="T666" s="45"/>
      <c r="U666" s="59">
        <v>951007110</v>
      </c>
      <c r="V666" s="58" t="s">
        <v>155</v>
      </c>
      <c r="W666" s="60" t="s">
        <v>79</v>
      </c>
      <c r="X666" s="58" t="s">
        <v>90</v>
      </c>
      <c r="Y666" s="61">
        <f>35977+(6*364)</f>
        <v>38161</v>
      </c>
      <c r="Z666" s="44">
        <f t="shared" ca="1" si="10"/>
        <v>20</v>
      </c>
    </row>
    <row r="667" spans="1:26" x14ac:dyDescent="0.25">
      <c r="A667" s="52" t="s">
        <v>802</v>
      </c>
      <c r="B667" s="52" t="s">
        <v>80</v>
      </c>
      <c r="C667" s="53">
        <v>50979</v>
      </c>
      <c r="D667" s="54">
        <v>124989</v>
      </c>
      <c r="K667" s="54"/>
      <c r="N667" s="62">
        <v>955001593</v>
      </c>
      <c r="O667" s="56">
        <v>7197764351</v>
      </c>
      <c r="P667" s="44" t="s">
        <v>99</v>
      </c>
      <c r="Q667" s="57">
        <v>115910</v>
      </c>
      <c r="R667" s="58" t="s">
        <v>71</v>
      </c>
      <c r="S667" s="45"/>
      <c r="T667" s="45"/>
      <c r="U667" s="59">
        <v>428008045</v>
      </c>
      <c r="V667" s="58" t="s">
        <v>841</v>
      </c>
      <c r="W667" s="60" t="s">
        <v>73</v>
      </c>
      <c r="X667" s="58" t="s">
        <v>343</v>
      </c>
      <c r="Y667" s="61">
        <f>40451+(6*364)</f>
        <v>42635</v>
      </c>
      <c r="Z667" s="44">
        <f t="shared" ca="1" si="10"/>
        <v>8</v>
      </c>
    </row>
    <row r="668" spans="1:26" x14ac:dyDescent="0.25">
      <c r="A668" s="52" t="s">
        <v>805</v>
      </c>
      <c r="B668" s="52" t="s">
        <v>80</v>
      </c>
      <c r="C668" s="53">
        <v>81625</v>
      </c>
      <c r="D668" s="54">
        <v>73430</v>
      </c>
      <c r="K668" s="54"/>
      <c r="N668" s="62">
        <v>956006053</v>
      </c>
      <c r="O668" s="56">
        <v>7196082608</v>
      </c>
      <c r="P668" s="44"/>
      <c r="Q668" s="57">
        <v>60636</v>
      </c>
      <c r="R668" s="58" t="s">
        <v>87</v>
      </c>
      <c r="S668" s="45"/>
      <c r="T668" s="45"/>
      <c r="U668" s="59">
        <v>544000413</v>
      </c>
      <c r="V668" s="58" t="s">
        <v>271</v>
      </c>
      <c r="W668" s="60" t="s">
        <v>89</v>
      </c>
      <c r="X668" s="58" t="s">
        <v>173</v>
      </c>
      <c r="Y668" s="61">
        <f>42274+(6*364)</f>
        <v>44458</v>
      </c>
      <c r="Z668" s="44">
        <f t="shared" ca="1" si="10"/>
        <v>3</v>
      </c>
    </row>
    <row r="669" spans="1:26" x14ac:dyDescent="0.25">
      <c r="A669" s="52" t="s">
        <v>806</v>
      </c>
      <c r="B669" s="52" t="s">
        <v>80</v>
      </c>
      <c r="C669" s="53">
        <v>37023</v>
      </c>
      <c r="D669" s="54">
        <v>71420</v>
      </c>
      <c r="K669" s="54"/>
      <c r="N669" s="62">
        <v>957003327</v>
      </c>
      <c r="O669" s="56">
        <v>3035368383</v>
      </c>
      <c r="P669" s="44" t="s">
        <v>99</v>
      </c>
      <c r="Q669" s="57">
        <v>58740</v>
      </c>
      <c r="R669" s="58" t="s">
        <v>71</v>
      </c>
      <c r="S669" s="45"/>
      <c r="T669" s="45"/>
      <c r="U669" s="59">
        <v>435006387</v>
      </c>
      <c r="V669" s="58" t="s">
        <v>608</v>
      </c>
      <c r="W669" s="60" t="s">
        <v>89</v>
      </c>
      <c r="X669" s="58" t="s">
        <v>94</v>
      </c>
      <c r="Y669" s="61">
        <f>38221+(6*364)</f>
        <v>40405</v>
      </c>
      <c r="Z669" s="44">
        <f t="shared" ca="1" si="10"/>
        <v>14</v>
      </c>
    </row>
    <row r="670" spans="1:26" x14ac:dyDescent="0.25">
      <c r="A670" s="52" t="s">
        <v>807</v>
      </c>
      <c r="B670" s="52" t="s">
        <v>80</v>
      </c>
      <c r="C670" s="53">
        <v>63990</v>
      </c>
      <c r="D670" s="54">
        <v>61344</v>
      </c>
      <c r="K670" s="54"/>
      <c r="N670" s="62">
        <v>957006313</v>
      </c>
      <c r="O670" s="56">
        <v>3031472895</v>
      </c>
      <c r="P670" s="44" t="s">
        <v>76</v>
      </c>
      <c r="Q670" s="57">
        <v>52254</v>
      </c>
      <c r="R670" s="58" t="s">
        <v>71</v>
      </c>
      <c r="S670" s="45"/>
      <c r="T670" s="45"/>
      <c r="U670" s="59">
        <v>598000974</v>
      </c>
      <c r="V670" s="58" t="s">
        <v>680</v>
      </c>
      <c r="W670" s="60" t="s">
        <v>89</v>
      </c>
      <c r="X670" s="58" t="s">
        <v>90</v>
      </c>
      <c r="Y670" s="61">
        <f>37619+(6*364)</f>
        <v>39803</v>
      </c>
      <c r="Z670" s="44">
        <f t="shared" ca="1" si="10"/>
        <v>16</v>
      </c>
    </row>
    <row r="671" spans="1:26" x14ac:dyDescent="0.25">
      <c r="A671" s="52" t="s">
        <v>808</v>
      </c>
      <c r="B671" s="52" t="s">
        <v>80</v>
      </c>
      <c r="C671" s="53">
        <v>59475</v>
      </c>
      <c r="D671" s="54">
        <v>57734</v>
      </c>
      <c r="K671" s="54"/>
      <c r="N671" s="62">
        <v>959007481</v>
      </c>
      <c r="O671" s="56">
        <v>7195990200</v>
      </c>
      <c r="P671" s="44" t="s">
        <v>99</v>
      </c>
      <c r="Q671" s="57">
        <v>69202</v>
      </c>
      <c r="R671" s="58" t="s">
        <v>71</v>
      </c>
      <c r="S671" s="45"/>
      <c r="T671" s="45"/>
      <c r="U671" s="59">
        <v>542002722</v>
      </c>
      <c r="V671" s="58" t="s">
        <v>610</v>
      </c>
      <c r="W671" s="60" t="s">
        <v>89</v>
      </c>
      <c r="X671" s="58" t="s">
        <v>94</v>
      </c>
      <c r="Y671" s="61">
        <f>42090+(6*364)</f>
        <v>44274</v>
      </c>
      <c r="Z671" s="44">
        <f t="shared" ca="1" si="10"/>
        <v>3</v>
      </c>
    </row>
    <row r="672" spans="1:26" x14ac:dyDescent="0.25">
      <c r="A672" s="52" t="s">
        <v>809</v>
      </c>
      <c r="B672" s="52" t="s">
        <v>80</v>
      </c>
      <c r="C672" s="53">
        <v>60471</v>
      </c>
      <c r="D672" s="54">
        <v>56184</v>
      </c>
      <c r="K672" s="54"/>
      <c r="N672" s="62">
        <v>963002989</v>
      </c>
      <c r="O672" s="56">
        <v>9704316324</v>
      </c>
      <c r="P672" s="44"/>
      <c r="Q672" s="57">
        <v>29923</v>
      </c>
      <c r="R672" s="58" t="s">
        <v>87</v>
      </c>
      <c r="S672" s="45"/>
      <c r="T672" s="45"/>
      <c r="U672" s="59">
        <v>902005832</v>
      </c>
      <c r="V672" s="58" t="s">
        <v>273</v>
      </c>
      <c r="W672" s="60" t="s">
        <v>89</v>
      </c>
      <c r="X672" s="58" t="s">
        <v>90</v>
      </c>
      <c r="Y672" s="61">
        <f>39867+(6*364)</f>
        <v>42051</v>
      </c>
      <c r="Z672" s="44">
        <f t="shared" ca="1" si="10"/>
        <v>10</v>
      </c>
    </row>
    <row r="673" spans="1:26" x14ac:dyDescent="0.25">
      <c r="A673" s="52" t="s">
        <v>811</v>
      </c>
      <c r="B673" s="52" t="s">
        <v>80</v>
      </c>
      <c r="C673" s="53">
        <v>14361</v>
      </c>
      <c r="D673" s="54">
        <v>106827</v>
      </c>
      <c r="K673" s="54"/>
      <c r="N673" s="62">
        <v>965008350</v>
      </c>
      <c r="O673" s="56">
        <v>7198433766</v>
      </c>
      <c r="P673" s="44" t="s">
        <v>70</v>
      </c>
      <c r="Q673" s="57">
        <v>127620</v>
      </c>
      <c r="R673" s="58" t="s">
        <v>71</v>
      </c>
      <c r="S673" s="45"/>
      <c r="T673" s="45"/>
      <c r="U673" s="59">
        <v>395006059</v>
      </c>
      <c r="V673" s="58" t="s">
        <v>828</v>
      </c>
      <c r="W673" s="60" t="s">
        <v>89</v>
      </c>
      <c r="X673" s="58" t="s">
        <v>74</v>
      </c>
      <c r="Y673" s="61">
        <f>35873+(6*364)</f>
        <v>38057</v>
      </c>
      <c r="Z673" s="44">
        <f t="shared" ca="1" si="10"/>
        <v>20</v>
      </c>
    </row>
    <row r="674" spans="1:26" x14ac:dyDescent="0.25">
      <c r="A674" s="52" t="s">
        <v>812</v>
      </c>
      <c r="B674" s="52" t="s">
        <v>80</v>
      </c>
      <c r="C674" s="53">
        <v>45369</v>
      </c>
      <c r="D674" s="54">
        <v>78041</v>
      </c>
      <c r="K674" s="54"/>
      <c r="N674" s="62">
        <v>968008540</v>
      </c>
      <c r="O674" s="56">
        <v>7191259179</v>
      </c>
      <c r="P674" s="44" t="s">
        <v>92</v>
      </c>
      <c r="Q674" s="57">
        <v>129963</v>
      </c>
      <c r="R674" s="58" t="s">
        <v>71</v>
      </c>
      <c r="S674" s="45"/>
      <c r="T674" s="45"/>
      <c r="U674" s="59">
        <v>881002274</v>
      </c>
      <c r="V674" s="58" t="s">
        <v>26</v>
      </c>
      <c r="W674" s="60" t="s">
        <v>79</v>
      </c>
      <c r="X674" s="58" t="s">
        <v>80</v>
      </c>
      <c r="Y674" s="61">
        <f>40570+(6*364)</f>
        <v>42754</v>
      </c>
      <c r="Z674" s="44">
        <f t="shared" ca="1" si="10"/>
        <v>8</v>
      </c>
    </row>
    <row r="675" spans="1:26" x14ac:dyDescent="0.25">
      <c r="A675" s="52" t="s">
        <v>814</v>
      </c>
      <c r="B675" s="52" t="s">
        <v>80</v>
      </c>
      <c r="C675" s="53">
        <v>86314</v>
      </c>
      <c r="D675" s="54">
        <v>122137</v>
      </c>
      <c r="K675" s="54"/>
      <c r="N675" s="62">
        <v>976007455</v>
      </c>
      <c r="O675" s="56">
        <v>5055592950</v>
      </c>
      <c r="P675" s="44" t="s">
        <v>99</v>
      </c>
      <c r="Q675" s="57">
        <v>92239</v>
      </c>
      <c r="R675" s="58" t="s">
        <v>71</v>
      </c>
      <c r="S675" s="45"/>
      <c r="T675" s="45"/>
      <c r="U675" s="59">
        <v>422002439</v>
      </c>
      <c r="V675" s="58" t="s">
        <v>829</v>
      </c>
      <c r="W675" s="60" t="s">
        <v>89</v>
      </c>
      <c r="X675" s="58" t="s">
        <v>173</v>
      </c>
      <c r="Y675" s="61">
        <f>36104+(6*364)</f>
        <v>38288</v>
      </c>
      <c r="Z675" s="44">
        <f t="shared" ca="1" si="10"/>
        <v>20</v>
      </c>
    </row>
    <row r="676" spans="1:26" x14ac:dyDescent="0.25">
      <c r="A676" s="52" t="s">
        <v>815</v>
      </c>
      <c r="B676" s="52" t="s">
        <v>80</v>
      </c>
      <c r="C676" s="53">
        <v>56522</v>
      </c>
      <c r="D676" s="54">
        <v>51468</v>
      </c>
      <c r="K676" s="54"/>
      <c r="N676" s="62">
        <v>978000272</v>
      </c>
      <c r="O676" s="56">
        <v>7192715355</v>
      </c>
      <c r="P676" s="44"/>
      <c r="Q676" s="57">
        <v>60367</v>
      </c>
      <c r="R676" s="58" t="s">
        <v>87</v>
      </c>
      <c r="S676" s="45"/>
      <c r="T676" s="45"/>
      <c r="U676" s="59">
        <v>297003762</v>
      </c>
      <c r="V676" s="58" t="s">
        <v>23</v>
      </c>
      <c r="W676" s="60" t="s">
        <v>154</v>
      </c>
      <c r="X676" s="58" t="s">
        <v>104</v>
      </c>
      <c r="Y676" s="61">
        <f>41707+(6*364)</f>
        <v>43891</v>
      </c>
      <c r="Z676" s="44">
        <f t="shared" ca="1" si="10"/>
        <v>4</v>
      </c>
    </row>
    <row r="677" spans="1:26" x14ac:dyDescent="0.25">
      <c r="A677" s="52" t="s">
        <v>818</v>
      </c>
      <c r="B677" s="52" t="s">
        <v>80</v>
      </c>
      <c r="C677" s="53">
        <v>61295</v>
      </c>
      <c r="D677" s="54">
        <v>131830</v>
      </c>
      <c r="K677" s="54"/>
      <c r="N677" s="62">
        <v>979004503</v>
      </c>
      <c r="O677" s="56">
        <v>7193938131</v>
      </c>
      <c r="P677" s="44" t="s">
        <v>76</v>
      </c>
      <c r="Q677" s="57">
        <v>123649</v>
      </c>
      <c r="R677" s="58" t="s">
        <v>71</v>
      </c>
      <c r="S677" s="45"/>
      <c r="T677" s="45"/>
      <c r="U677" s="59">
        <v>165000809</v>
      </c>
      <c r="V677" s="58" t="s">
        <v>830</v>
      </c>
      <c r="W677" s="60" t="s">
        <v>73</v>
      </c>
      <c r="X677" s="58" t="s">
        <v>173</v>
      </c>
      <c r="Y677" s="61">
        <f>38331+(6*364)</f>
        <v>40515</v>
      </c>
      <c r="Z677" s="44">
        <f t="shared" ca="1" si="10"/>
        <v>14</v>
      </c>
    </row>
    <row r="678" spans="1:26" x14ac:dyDescent="0.25">
      <c r="A678" s="52" t="s">
        <v>820</v>
      </c>
      <c r="B678" s="52" t="s">
        <v>80</v>
      </c>
      <c r="C678" s="53">
        <v>43688</v>
      </c>
      <c r="D678" s="54">
        <v>126487</v>
      </c>
      <c r="K678" s="54"/>
      <c r="N678" s="55">
        <v>984006789</v>
      </c>
      <c r="O678" s="56">
        <v>5057682821</v>
      </c>
      <c r="P678" s="44" t="s">
        <v>76</v>
      </c>
      <c r="Q678" s="57">
        <v>36405</v>
      </c>
      <c r="R678" s="58" t="s">
        <v>71</v>
      </c>
      <c r="S678" s="45"/>
      <c r="T678" s="45"/>
      <c r="U678" s="59">
        <v>132000583</v>
      </c>
      <c r="V678" s="58" t="s">
        <v>275</v>
      </c>
      <c r="W678" s="60" t="s">
        <v>73</v>
      </c>
      <c r="X678" s="58" t="s">
        <v>80</v>
      </c>
      <c r="Y678" s="61">
        <f>37949+(6*364)</f>
        <v>40133</v>
      </c>
      <c r="Z678" s="44">
        <f t="shared" ca="1" si="10"/>
        <v>15</v>
      </c>
    </row>
    <row r="679" spans="1:26" x14ac:dyDescent="0.25">
      <c r="A679" s="52" t="s">
        <v>821</v>
      </c>
      <c r="B679" s="52" t="s">
        <v>80</v>
      </c>
      <c r="C679" s="53">
        <v>70052</v>
      </c>
      <c r="D679" s="54">
        <v>78036</v>
      </c>
      <c r="K679" s="54"/>
      <c r="N679" s="62">
        <v>985000271</v>
      </c>
      <c r="O679" s="56">
        <v>7193492633</v>
      </c>
      <c r="P679" s="44" t="s">
        <v>70</v>
      </c>
      <c r="Q679" s="57">
        <v>60738</v>
      </c>
      <c r="R679" s="58" t="s">
        <v>77</v>
      </c>
      <c r="S679" s="45"/>
      <c r="T679" s="45"/>
      <c r="U679" s="59">
        <v>445000636</v>
      </c>
      <c r="V679" s="58" t="s">
        <v>843</v>
      </c>
      <c r="W679" s="60" t="s">
        <v>79</v>
      </c>
      <c r="X679" s="58" t="s">
        <v>94</v>
      </c>
      <c r="Y679" s="61">
        <f>37075+(6*364)</f>
        <v>39259</v>
      </c>
      <c r="Z679" s="44">
        <f t="shared" ca="1" si="10"/>
        <v>17</v>
      </c>
    </row>
    <row r="680" spans="1:26" x14ac:dyDescent="0.25">
      <c r="A680" s="52" t="s">
        <v>846</v>
      </c>
      <c r="B680" s="52" t="s">
        <v>80</v>
      </c>
      <c r="C680" s="53">
        <v>22156</v>
      </c>
      <c r="D680" s="54">
        <v>124100</v>
      </c>
      <c r="K680" s="54"/>
      <c r="N680" s="55">
        <v>986002532</v>
      </c>
      <c r="O680" s="56">
        <v>9708407416</v>
      </c>
      <c r="P680" s="44"/>
      <c r="Q680" s="57">
        <v>58394</v>
      </c>
      <c r="R680" s="58" t="s">
        <v>87</v>
      </c>
      <c r="S680" s="45"/>
      <c r="T680" s="45"/>
      <c r="U680" s="59">
        <v>955001593</v>
      </c>
      <c r="V680" s="58" t="s">
        <v>277</v>
      </c>
      <c r="W680" s="60" t="s">
        <v>73</v>
      </c>
      <c r="X680" s="58" t="s">
        <v>104</v>
      </c>
      <c r="Y680" s="61">
        <f>37827+(6*364)</f>
        <v>40011</v>
      </c>
      <c r="Z680" s="44">
        <f t="shared" ca="1" si="10"/>
        <v>15</v>
      </c>
    </row>
    <row r="681" spans="1:26" x14ac:dyDescent="0.25">
      <c r="A681" s="52" t="s">
        <v>834</v>
      </c>
      <c r="B681" s="52" t="s">
        <v>80</v>
      </c>
      <c r="C681" s="53">
        <v>71325</v>
      </c>
      <c r="D681" s="54">
        <v>75423</v>
      </c>
      <c r="K681" s="54"/>
      <c r="N681" s="62">
        <v>986007993</v>
      </c>
      <c r="O681" s="56">
        <v>3032939413</v>
      </c>
      <c r="P681" s="44" t="s">
        <v>70</v>
      </c>
      <c r="Q681" s="57">
        <v>71711</v>
      </c>
      <c r="R681" s="58" t="s">
        <v>77</v>
      </c>
      <c r="S681" s="45"/>
      <c r="T681" s="45"/>
      <c r="U681" s="59">
        <v>326008518</v>
      </c>
      <c r="V681" s="58" t="s">
        <v>279</v>
      </c>
      <c r="W681" s="60" t="s">
        <v>89</v>
      </c>
      <c r="X681" s="58" t="s">
        <v>94</v>
      </c>
      <c r="Y681" s="61">
        <f>37914+(6*364)</f>
        <v>40098</v>
      </c>
      <c r="Z681" s="44">
        <f t="shared" ca="1" si="10"/>
        <v>15</v>
      </c>
    </row>
    <row r="682" spans="1:26" x14ac:dyDescent="0.25">
      <c r="A682" s="52" t="s">
        <v>835</v>
      </c>
      <c r="B682" s="52" t="s">
        <v>80</v>
      </c>
      <c r="C682" s="53">
        <v>52524</v>
      </c>
      <c r="D682" s="54">
        <v>74388</v>
      </c>
      <c r="K682" s="54"/>
      <c r="N682" s="55">
        <v>988009541</v>
      </c>
      <c r="O682" s="56">
        <v>9708908079</v>
      </c>
      <c r="P682" s="44" t="s">
        <v>92</v>
      </c>
      <c r="Q682" s="57">
        <v>40310</v>
      </c>
      <c r="R682" s="58" t="s">
        <v>71</v>
      </c>
      <c r="S682" s="45"/>
      <c r="T682" s="45"/>
      <c r="U682" s="59">
        <v>565003438</v>
      </c>
      <c r="V682" s="58" t="s">
        <v>613</v>
      </c>
      <c r="W682" s="60" t="s">
        <v>101</v>
      </c>
      <c r="X682" s="58" t="s">
        <v>80</v>
      </c>
      <c r="Y682" s="61">
        <f>39419+(6*364)</f>
        <v>41603</v>
      </c>
      <c r="Z682" s="44">
        <f t="shared" ca="1" si="10"/>
        <v>11</v>
      </c>
    </row>
    <row r="683" spans="1:26" x14ac:dyDescent="0.25">
      <c r="A683" s="52" t="s">
        <v>836</v>
      </c>
      <c r="B683" s="52" t="s">
        <v>80</v>
      </c>
      <c r="C683" s="53">
        <v>95220</v>
      </c>
      <c r="D683" s="54">
        <v>109549</v>
      </c>
      <c r="K683" s="54"/>
      <c r="N683" s="55">
        <v>989003864</v>
      </c>
      <c r="O683" s="56">
        <v>3036739978</v>
      </c>
      <c r="P683" s="44"/>
      <c r="Q683" s="57">
        <v>92651</v>
      </c>
      <c r="R683" s="58" t="s">
        <v>87</v>
      </c>
      <c r="S683" s="45"/>
      <c r="T683" s="45"/>
      <c r="U683" s="59">
        <v>550001130</v>
      </c>
      <c r="V683" s="58" t="s">
        <v>831</v>
      </c>
      <c r="W683" s="60" t="s">
        <v>73</v>
      </c>
      <c r="X683" s="58" t="s">
        <v>104</v>
      </c>
      <c r="Y683" s="61">
        <f>35802+(6*364)</f>
        <v>37986</v>
      </c>
      <c r="Z683" s="44">
        <f t="shared" ca="1" si="10"/>
        <v>21</v>
      </c>
    </row>
    <row r="684" spans="1:26" x14ac:dyDescent="0.25">
      <c r="A684" s="52" t="s">
        <v>837</v>
      </c>
      <c r="B684" s="52" t="s">
        <v>80</v>
      </c>
      <c r="C684" s="53">
        <v>28724</v>
      </c>
      <c r="D684" s="54">
        <v>87399</v>
      </c>
      <c r="K684" s="54"/>
      <c r="N684" s="55">
        <v>989006256</v>
      </c>
      <c r="O684" s="56">
        <v>7191806180</v>
      </c>
      <c r="P684" s="44" t="s">
        <v>92</v>
      </c>
      <c r="Q684" s="57">
        <v>119826</v>
      </c>
      <c r="R684" s="58" t="s">
        <v>71</v>
      </c>
      <c r="S684" s="45"/>
      <c r="T684" s="45"/>
      <c r="U684" s="59">
        <v>345004685</v>
      </c>
      <c r="V684" s="58" t="s">
        <v>683</v>
      </c>
      <c r="W684" s="60" t="s">
        <v>101</v>
      </c>
      <c r="X684" s="58" t="s">
        <v>94</v>
      </c>
      <c r="Y684" s="61">
        <f>38060+(6*364)</f>
        <v>40244</v>
      </c>
      <c r="Z684" s="44">
        <f t="shared" ca="1" si="10"/>
        <v>14</v>
      </c>
    </row>
    <row r="685" spans="1:26" x14ac:dyDescent="0.25">
      <c r="A685" s="52" t="s">
        <v>838</v>
      </c>
      <c r="B685" s="52" t="s">
        <v>80</v>
      </c>
      <c r="C685" s="53">
        <v>46438</v>
      </c>
      <c r="D685" s="54">
        <v>74127</v>
      </c>
      <c r="K685" s="54"/>
      <c r="N685" s="62">
        <v>990002761</v>
      </c>
      <c r="O685" s="56">
        <v>3033613559</v>
      </c>
      <c r="P685" s="44"/>
      <c r="Q685" s="57">
        <v>34376</v>
      </c>
      <c r="R685" s="58" t="s">
        <v>87</v>
      </c>
      <c r="S685" s="45"/>
      <c r="T685" s="45"/>
      <c r="U685" s="59">
        <v>175006170</v>
      </c>
      <c r="V685" s="58" t="s">
        <v>706</v>
      </c>
      <c r="W685" s="60" t="s">
        <v>84</v>
      </c>
      <c r="X685" s="58" t="s">
        <v>147</v>
      </c>
      <c r="Y685" s="61">
        <f>38390+(6*364)</f>
        <v>40574</v>
      </c>
      <c r="Z685" s="44">
        <f t="shared" ca="1" si="10"/>
        <v>14</v>
      </c>
    </row>
    <row r="686" spans="1:26" x14ac:dyDescent="0.25">
      <c r="A686" s="52" t="s">
        <v>839</v>
      </c>
      <c r="B686" s="52" t="s">
        <v>80</v>
      </c>
      <c r="C686" s="53">
        <v>13406</v>
      </c>
      <c r="D686" s="54">
        <v>132702</v>
      </c>
      <c r="K686" s="54"/>
      <c r="N686" s="62">
        <v>991000309</v>
      </c>
      <c r="O686" s="56">
        <v>7197135797</v>
      </c>
      <c r="P686" s="44"/>
      <c r="Q686" s="57">
        <v>85184</v>
      </c>
      <c r="R686" s="58" t="s">
        <v>87</v>
      </c>
      <c r="S686" s="45"/>
      <c r="T686" s="45"/>
      <c r="U686" s="59">
        <v>172004659</v>
      </c>
      <c r="V686" s="58" t="s">
        <v>792</v>
      </c>
      <c r="W686" s="60" t="s">
        <v>89</v>
      </c>
      <c r="X686" s="58" t="s">
        <v>343</v>
      </c>
      <c r="Y686" s="61">
        <f>37253+(6*364)</f>
        <v>39437</v>
      </c>
      <c r="Z686" s="44">
        <f t="shared" ca="1" si="10"/>
        <v>17</v>
      </c>
    </row>
    <row r="687" spans="1:26" x14ac:dyDescent="0.25">
      <c r="A687" s="52" t="s">
        <v>841</v>
      </c>
      <c r="B687" s="52" t="s">
        <v>80</v>
      </c>
      <c r="C687" s="53">
        <v>57703</v>
      </c>
      <c r="D687" s="54">
        <v>69178</v>
      </c>
      <c r="K687" s="54"/>
      <c r="N687" s="62">
        <v>992002235</v>
      </c>
      <c r="O687" s="56">
        <v>3033883356</v>
      </c>
      <c r="P687" s="44" t="s">
        <v>92</v>
      </c>
      <c r="Q687" s="57">
        <v>128913</v>
      </c>
      <c r="R687" s="58" t="s">
        <v>71</v>
      </c>
      <c r="S687" s="45"/>
      <c r="T687" s="45"/>
      <c r="U687" s="59">
        <v>257005711</v>
      </c>
      <c r="V687" s="58" t="s">
        <v>135</v>
      </c>
      <c r="W687" s="60" t="s">
        <v>89</v>
      </c>
      <c r="X687" s="58" t="s">
        <v>90</v>
      </c>
      <c r="Y687" s="61">
        <f>36073+(6*364)</f>
        <v>38257</v>
      </c>
      <c r="Z687" s="44">
        <f t="shared" ca="1" si="10"/>
        <v>20</v>
      </c>
    </row>
    <row r="688" spans="1:26" x14ac:dyDescent="0.25">
      <c r="A688" s="52" t="s">
        <v>847</v>
      </c>
      <c r="B688" s="52" t="s">
        <v>80</v>
      </c>
      <c r="C688" s="53">
        <v>40361</v>
      </c>
      <c r="D688" s="54">
        <v>51928</v>
      </c>
      <c r="K688" s="54"/>
      <c r="N688" s="62">
        <v>993007959</v>
      </c>
      <c r="O688" s="56">
        <v>3034383168</v>
      </c>
      <c r="P688" s="44" t="s">
        <v>82</v>
      </c>
      <c r="Q688" s="57">
        <v>72223</v>
      </c>
      <c r="R688" s="58" t="s">
        <v>71</v>
      </c>
      <c r="S688" s="45"/>
      <c r="T688" s="45"/>
      <c r="U688" s="59">
        <v>559001393</v>
      </c>
      <c r="V688" s="58" t="s">
        <v>794</v>
      </c>
      <c r="W688" s="60" t="s">
        <v>73</v>
      </c>
      <c r="X688" s="58" t="s">
        <v>80</v>
      </c>
      <c r="Y688" s="61">
        <f>37171+(6*364)</f>
        <v>39355</v>
      </c>
      <c r="Z688" s="44">
        <f t="shared" ca="1" si="10"/>
        <v>17</v>
      </c>
    </row>
    <row r="689" spans="1:26" x14ac:dyDescent="0.25">
      <c r="A689" s="52" t="s">
        <v>844</v>
      </c>
      <c r="B689" s="52" t="s">
        <v>80</v>
      </c>
      <c r="C689" s="53">
        <v>87941</v>
      </c>
      <c r="D689" s="54">
        <v>65205</v>
      </c>
      <c r="K689" s="54"/>
      <c r="N689" s="55">
        <v>995008824</v>
      </c>
      <c r="O689" s="56">
        <v>3038356334</v>
      </c>
      <c r="P689" s="44" t="s">
        <v>82</v>
      </c>
      <c r="Q689" s="57">
        <v>42585</v>
      </c>
      <c r="R689" s="58" t="s">
        <v>71</v>
      </c>
      <c r="S689" s="45"/>
      <c r="T689" s="45"/>
      <c r="U689" s="59">
        <v>599003031</v>
      </c>
      <c r="V689" s="58" t="s">
        <v>795</v>
      </c>
      <c r="W689" s="60" t="s">
        <v>73</v>
      </c>
      <c r="X689" s="58" t="s">
        <v>80</v>
      </c>
      <c r="Y689" s="61">
        <f>37551+(6*364)</f>
        <v>39735</v>
      </c>
      <c r="Z689" s="44">
        <f t="shared" ca="1" si="10"/>
        <v>16</v>
      </c>
    </row>
    <row r="690" spans="1:26" x14ac:dyDescent="0.25">
      <c r="A690" s="52" t="s">
        <v>83</v>
      </c>
      <c r="B690" s="52" t="s">
        <v>524</v>
      </c>
      <c r="C690" s="53">
        <v>87637</v>
      </c>
      <c r="D690" s="54">
        <v>131058</v>
      </c>
      <c r="K690" s="54"/>
      <c r="N690" s="62">
        <v>996000663</v>
      </c>
      <c r="O690" s="56">
        <v>7193838954</v>
      </c>
      <c r="P690" s="44"/>
      <c r="Q690" s="57">
        <v>78624</v>
      </c>
      <c r="R690" s="58" t="s">
        <v>87</v>
      </c>
      <c r="S690" s="45"/>
      <c r="T690" s="45"/>
      <c r="U690" s="59">
        <v>658002956</v>
      </c>
      <c r="V690" s="58" t="s">
        <v>615</v>
      </c>
      <c r="W690" s="60" t="s">
        <v>73</v>
      </c>
      <c r="X690" s="58" t="s">
        <v>173</v>
      </c>
      <c r="Y690" s="61">
        <f>40717+(6*364)</f>
        <v>42901</v>
      </c>
      <c r="Z690" s="44">
        <f t="shared" ca="1" si="10"/>
        <v>7</v>
      </c>
    </row>
    <row r="691" spans="1:26" x14ac:dyDescent="0.25">
      <c r="A691" s="52" t="s">
        <v>122</v>
      </c>
      <c r="B691" s="52" t="s">
        <v>524</v>
      </c>
      <c r="C691" s="53">
        <v>58622</v>
      </c>
      <c r="D691" s="54">
        <v>99273</v>
      </c>
      <c r="K691" s="54"/>
      <c r="N691" s="55">
        <v>997000592</v>
      </c>
      <c r="O691" s="56">
        <v>9706732103</v>
      </c>
      <c r="P691" s="44" t="s">
        <v>92</v>
      </c>
      <c r="Q691" s="57">
        <v>71959</v>
      </c>
      <c r="R691" s="58" t="s">
        <v>71</v>
      </c>
      <c r="S691" s="45"/>
      <c r="T691" s="45"/>
      <c r="U691" s="59">
        <v>997000592</v>
      </c>
      <c r="V691" s="58" t="s">
        <v>796</v>
      </c>
      <c r="W691" s="60" t="s">
        <v>79</v>
      </c>
      <c r="X691" s="58" t="s">
        <v>173</v>
      </c>
      <c r="Y691" s="61">
        <f>38214+(6*364)</f>
        <v>40398</v>
      </c>
      <c r="Z691" s="44">
        <f t="shared" ca="1" si="10"/>
        <v>14</v>
      </c>
    </row>
    <row r="692" spans="1:26" x14ac:dyDescent="0.25">
      <c r="A692" s="52" t="s">
        <v>367</v>
      </c>
      <c r="B692" s="52" t="s">
        <v>524</v>
      </c>
      <c r="C692" s="53">
        <v>61939</v>
      </c>
      <c r="D692" s="54">
        <v>65817</v>
      </c>
      <c r="K692" s="54"/>
      <c r="N692" s="62">
        <v>997002517</v>
      </c>
      <c r="O692" s="56">
        <v>9704077699</v>
      </c>
      <c r="P692" s="44" t="s">
        <v>70</v>
      </c>
      <c r="Q692" s="57">
        <v>109766</v>
      </c>
      <c r="R692" s="58" t="s">
        <v>71</v>
      </c>
      <c r="S692" s="45"/>
      <c r="T692" s="45"/>
      <c r="U692" s="59">
        <v>896006825</v>
      </c>
      <c r="V692" s="58" t="s">
        <v>844</v>
      </c>
      <c r="W692" s="60" t="s">
        <v>73</v>
      </c>
      <c r="X692" s="58" t="s">
        <v>94</v>
      </c>
      <c r="Y692" s="61">
        <f>40097+(6*364)</f>
        <v>42281</v>
      </c>
      <c r="Z692" s="44">
        <f t="shared" ca="1" si="10"/>
        <v>9</v>
      </c>
    </row>
    <row r="693" spans="1:26" x14ac:dyDescent="0.25">
      <c r="A693" s="52" t="s">
        <v>761</v>
      </c>
      <c r="B693" s="52" t="s">
        <v>524</v>
      </c>
      <c r="C693" s="53">
        <v>95920</v>
      </c>
      <c r="D693" s="54">
        <v>68902</v>
      </c>
      <c r="K693" s="54"/>
      <c r="N693" s="62">
        <v>997006090</v>
      </c>
      <c r="O693" s="56">
        <v>7197061632</v>
      </c>
      <c r="P693" s="44" t="s">
        <v>82</v>
      </c>
      <c r="Q693" s="57">
        <v>65780</v>
      </c>
      <c r="R693" s="58" t="s">
        <v>77</v>
      </c>
      <c r="S693" s="45"/>
      <c r="T693" s="45"/>
      <c r="U693" s="59">
        <v>227002394</v>
      </c>
      <c r="V693" s="58" t="s">
        <v>616</v>
      </c>
      <c r="W693" s="60" t="s">
        <v>89</v>
      </c>
      <c r="X693" s="58" t="s">
        <v>80</v>
      </c>
      <c r="Y693" s="61">
        <f>42604+(6*364)</f>
        <v>44788</v>
      </c>
      <c r="Z693" s="44">
        <f t="shared" ca="1" si="10"/>
        <v>2</v>
      </c>
    </row>
    <row r="694" spans="1:26" x14ac:dyDescent="0.25">
      <c r="A694" s="52" t="s">
        <v>775</v>
      </c>
      <c r="B694" s="52" t="s">
        <v>524</v>
      </c>
      <c r="C694" s="53">
        <v>98820</v>
      </c>
      <c r="D694" s="54">
        <v>102857</v>
      </c>
      <c r="K694" s="54"/>
      <c r="N694" s="62">
        <v>997006126</v>
      </c>
      <c r="O694" s="56">
        <v>5058552110</v>
      </c>
      <c r="P694" s="44" t="s">
        <v>82</v>
      </c>
      <c r="Q694" s="57">
        <v>100783</v>
      </c>
      <c r="R694" s="58" t="s">
        <v>71</v>
      </c>
      <c r="S694" s="45"/>
      <c r="T694" s="45"/>
      <c r="U694" s="59">
        <v>432007321</v>
      </c>
      <c r="V694" s="58" t="s">
        <v>832</v>
      </c>
      <c r="W694" s="60" t="s">
        <v>73</v>
      </c>
      <c r="X694" s="58" t="s">
        <v>107</v>
      </c>
      <c r="Y694" s="61">
        <f>39272+(6*364)</f>
        <v>41456</v>
      </c>
      <c r="Z694" s="44">
        <f t="shared" ca="1" si="10"/>
        <v>11</v>
      </c>
    </row>
    <row r="695" spans="1:26" x14ac:dyDescent="0.25">
      <c r="A695" s="52" t="s">
        <v>256</v>
      </c>
      <c r="B695" s="52" t="s">
        <v>281</v>
      </c>
      <c r="C695" s="53">
        <v>11242</v>
      </c>
      <c r="D695" s="54">
        <v>95039</v>
      </c>
      <c r="K695" s="54"/>
      <c r="N695" s="62">
        <v>997007800</v>
      </c>
      <c r="O695" s="56">
        <v>7192381391</v>
      </c>
      <c r="P695" s="44"/>
      <c r="Q695" s="57">
        <v>79198</v>
      </c>
      <c r="R695" s="58" t="s">
        <v>87</v>
      </c>
      <c r="S695" s="45"/>
      <c r="T695" s="45"/>
      <c r="U695" s="59">
        <v>515007771</v>
      </c>
      <c r="V695" s="58" t="s">
        <v>740</v>
      </c>
      <c r="W695" s="60" t="s">
        <v>101</v>
      </c>
      <c r="X695" s="58" t="s">
        <v>137</v>
      </c>
      <c r="Y695" s="61">
        <f>39975+(6*364)</f>
        <v>42159</v>
      </c>
      <c r="Z695" s="44">
        <f t="shared" ca="1" si="10"/>
        <v>9</v>
      </c>
    </row>
    <row r="696" spans="1:26" x14ac:dyDescent="0.25">
      <c r="A696" s="52" t="s">
        <v>523</v>
      </c>
      <c r="B696" s="52" t="s">
        <v>281</v>
      </c>
      <c r="C696" s="53">
        <v>68937</v>
      </c>
      <c r="D696" s="54">
        <v>100802</v>
      </c>
      <c r="K696" s="54"/>
      <c r="N696" s="55">
        <v>997009126</v>
      </c>
      <c r="O696" s="56">
        <v>7191401774</v>
      </c>
      <c r="P696" s="44" t="s">
        <v>92</v>
      </c>
      <c r="Q696" s="57">
        <v>119329</v>
      </c>
      <c r="R696" s="58" t="s">
        <v>71</v>
      </c>
      <c r="S696" s="45"/>
      <c r="T696" s="45"/>
      <c r="U696" s="59">
        <v>588006944</v>
      </c>
      <c r="V696" s="58" t="s">
        <v>617</v>
      </c>
      <c r="W696" s="60" t="s">
        <v>73</v>
      </c>
      <c r="X696" s="58" t="s">
        <v>132</v>
      </c>
      <c r="Y696" s="61">
        <f>40679+(6*364)</f>
        <v>42863</v>
      </c>
      <c r="Z696" s="44">
        <f t="shared" ca="1" si="10"/>
        <v>7</v>
      </c>
    </row>
    <row r="697" spans="1:26" x14ac:dyDescent="0.25">
      <c r="A697" s="52" t="s">
        <v>539</v>
      </c>
      <c r="B697" s="52" t="s">
        <v>281</v>
      </c>
      <c r="C697" s="53">
        <v>19496</v>
      </c>
      <c r="D697" s="54">
        <v>69871</v>
      </c>
      <c r="K697" s="54"/>
      <c r="N697" s="55">
        <v>998001277</v>
      </c>
      <c r="O697" s="56">
        <v>9703089561</v>
      </c>
      <c r="P697" s="44" t="s">
        <v>92</v>
      </c>
      <c r="Q697" s="57">
        <v>120135</v>
      </c>
      <c r="R697" s="58" t="s">
        <v>71</v>
      </c>
      <c r="S697" s="45"/>
      <c r="T697" s="45"/>
      <c r="U697" s="59">
        <v>336000416</v>
      </c>
      <c r="V697" s="58" t="s">
        <v>833</v>
      </c>
      <c r="W697" s="60" t="s">
        <v>101</v>
      </c>
      <c r="X697" s="58" t="s">
        <v>80</v>
      </c>
      <c r="Y697" s="61">
        <f>42562+(6*364)</f>
        <v>44746</v>
      </c>
      <c r="Z697" s="44">
        <f t="shared" ca="1" si="10"/>
        <v>2</v>
      </c>
    </row>
    <row r="698" spans="1:26" x14ac:dyDescent="0.25">
      <c r="A698" s="52" t="s">
        <v>753</v>
      </c>
      <c r="B698" s="52" t="s">
        <v>281</v>
      </c>
      <c r="C698" s="53">
        <v>28171</v>
      </c>
      <c r="D698" s="54">
        <v>74549</v>
      </c>
      <c r="K698" s="54"/>
      <c r="N698" s="62">
        <v>998005102</v>
      </c>
      <c r="O698" s="56">
        <v>9708413271</v>
      </c>
      <c r="P698" s="44" t="s">
        <v>99</v>
      </c>
      <c r="Q698" s="57">
        <v>126339</v>
      </c>
      <c r="R698" s="58" t="s">
        <v>71</v>
      </c>
      <c r="S698" s="45"/>
      <c r="T698" s="45"/>
      <c r="U698" s="59">
        <v>378009447</v>
      </c>
      <c r="V698" s="58" t="s">
        <v>797</v>
      </c>
      <c r="W698" s="60" t="s">
        <v>89</v>
      </c>
      <c r="X698" s="58" t="s">
        <v>94</v>
      </c>
      <c r="Y698" s="61">
        <f>42328+(6*364)</f>
        <v>44512</v>
      </c>
      <c r="Z698" s="44">
        <f t="shared" ca="1" si="10"/>
        <v>3</v>
      </c>
    </row>
    <row r="699" spans="1:26" x14ac:dyDescent="0.25">
      <c r="A699" s="52" t="s">
        <v>848</v>
      </c>
      <c r="B699" s="52" t="s">
        <v>281</v>
      </c>
      <c r="C699" s="53">
        <v>65855</v>
      </c>
      <c r="D699" s="54">
        <v>43225</v>
      </c>
      <c r="K699" s="54"/>
      <c r="N699" s="62">
        <v>998005925</v>
      </c>
      <c r="O699" s="56">
        <v>7191854525</v>
      </c>
      <c r="P699" s="44" t="s">
        <v>99</v>
      </c>
      <c r="Q699" s="57">
        <v>126437</v>
      </c>
      <c r="R699" s="58" t="s">
        <v>77</v>
      </c>
      <c r="S699" s="45"/>
      <c r="T699" s="45"/>
      <c r="U699" s="59">
        <v>247001112</v>
      </c>
      <c r="V699" s="58" t="s">
        <v>845</v>
      </c>
      <c r="W699" s="60" t="s">
        <v>73</v>
      </c>
      <c r="X699" s="58" t="s">
        <v>94</v>
      </c>
      <c r="Y699" s="61">
        <f>41788+(6*364)</f>
        <v>43972</v>
      </c>
      <c r="Z699" s="44">
        <f t="shared" ca="1" si="10"/>
        <v>4</v>
      </c>
    </row>
    <row r="700" spans="1:26" x14ac:dyDescent="0.25">
      <c r="D700" s="54"/>
      <c r="K700" s="54"/>
    </row>
    <row r="701" spans="1:26" x14ac:dyDescent="0.25">
      <c r="D701" s="54"/>
      <c r="K701" s="54"/>
    </row>
    <row r="702" spans="1:26" x14ac:dyDescent="0.25">
      <c r="D702" s="54"/>
      <c r="K702" s="54"/>
    </row>
    <row r="703" spans="1:26" x14ac:dyDescent="0.25">
      <c r="D703" s="54"/>
      <c r="K703" s="54"/>
    </row>
    <row r="704" spans="1:26" x14ac:dyDescent="0.25">
      <c r="D704" s="54"/>
      <c r="K704" s="54"/>
    </row>
    <row r="705" spans="4:11" x14ac:dyDescent="0.25">
      <c r="D705" s="54"/>
      <c r="K705" s="54"/>
    </row>
    <row r="706" spans="4:11" x14ac:dyDescent="0.25">
      <c r="D706" s="54"/>
      <c r="K706" s="54"/>
    </row>
    <row r="707" spans="4:11" x14ac:dyDescent="0.25">
      <c r="D707" s="54"/>
      <c r="K707" s="54"/>
    </row>
    <row r="708" spans="4:11" x14ac:dyDescent="0.25">
      <c r="D708" s="54"/>
      <c r="K708" s="54"/>
    </row>
    <row r="709" spans="4:11" x14ac:dyDescent="0.25">
      <c r="D709" s="54"/>
      <c r="K709" s="54"/>
    </row>
    <row r="710" spans="4:11" x14ac:dyDescent="0.25">
      <c r="D710" s="54"/>
      <c r="K710" s="54"/>
    </row>
    <row r="711" spans="4:11" x14ac:dyDescent="0.25">
      <c r="D711" s="54"/>
      <c r="K711" s="54"/>
    </row>
    <row r="712" spans="4:11" x14ac:dyDescent="0.25">
      <c r="D712" s="54"/>
      <c r="K712" s="54"/>
    </row>
    <row r="713" spans="4:11" x14ac:dyDescent="0.25">
      <c r="D713" s="54"/>
      <c r="K713" s="54"/>
    </row>
    <row r="714" spans="4:11" x14ac:dyDescent="0.25">
      <c r="D714" s="54"/>
      <c r="K714" s="54"/>
    </row>
    <row r="715" spans="4:11" x14ac:dyDescent="0.25">
      <c r="D715" s="54"/>
      <c r="K715" s="54"/>
    </row>
    <row r="716" spans="4:11" x14ac:dyDescent="0.25">
      <c r="D716" s="54"/>
      <c r="K716" s="54"/>
    </row>
    <row r="717" spans="4:11" x14ac:dyDescent="0.25">
      <c r="D717" s="54"/>
      <c r="K717" s="54"/>
    </row>
    <row r="718" spans="4:11" x14ac:dyDescent="0.25">
      <c r="D718" s="54"/>
      <c r="K718" s="54"/>
    </row>
    <row r="719" spans="4:11" x14ac:dyDescent="0.25">
      <c r="D719" s="54"/>
      <c r="K719" s="54"/>
    </row>
    <row r="720" spans="4:11" x14ac:dyDescent="0.25">
      <c r="D720" s="54"/>
      <c r="K720" s="54"/>
    </row>
    <row r="721" spans="11:11" x14ac:dyDescent="0.25">
      <c r="K721" s="54"/>
    </row>
    <row r="722" spans="11:11" x14ac:dyDescent="0.25">
      <c r="K722" s="54"/>
    </row>
    <row r="723" spans="11:11" x14ac:dyDescent="0.25">
      <c r="K723" s="54"/>
    </row>
    <row r="724" spans="11:11" x14ac:dyDescent="0.25">
      <c r="K724" s="54"/>
    </row>
    <row r="725" spans="11:11" x14ac:dyDescent="0.25">
      <c r="K725" s="54"/>
    </row>
    <row r="726" spans="11:11" x14ac:dyDescent="0.25">
      <c r="K726" s="54"/>
    </row>
    <row r="727" spans="11:11" x14ac:dyDescent="0.25">
      <c r="K727" s="54"/>
    </row>
    <row r="728" spans="11:11" x14ac:dyDescent="0.25">
      <c r="K728" s="54"/>
    </row>
    <row r="729" spans="11:11" x14ac:dyDescent="0.25">
      <c r="K729" s="54"/>
    </row>
    <row r="730" spans="11:11" x14ac:dyDescent="0.25">
      <c r="K730" s="54"/>
    </row>
    <row r="731" spans="11:11" x14ac:dyDescent="0.25">
      <c r="K731" s="54"/>
    </row>
    <row r="732" spans="11:11" x14ac:dyDescent="0.25">
      <c r="K732" s="54"/>
    </row>
    <row r="733" spans="11:11" x14ac:dyDescent="0.25">
      <c r="K733" s="54"/>
    </row>
    <row r="734" spans="11:11" x14ac:dyDescent="0.25">
      <c r="K734" s="54"/>
    </row>
    <row r="735" spans="11:11" x14ac:dyDescent="0.25">
      <c r="K735" s="54"/>
    </row>
    <row r="736" spans="11:11" x14ac:dyDescent="0.25">
      <c r="K736" s="54"/>
    </row>
    <row r="737" spans="11:11" x14ac:dyDescent="0.25">
      <c r="K737" s="54"/>
    </row>
    <row r="738" spans="11:11" x14ac:dyDescent="0.25">
      <c r="K738" s="54"/>
    </row>
    <row r="739" spans="11:11" x14ac:dyDescent="0.25">
      <c r="K739" s="54"/>
    </row>
    <row r="740" spans="11:11" x14ac:dyDescent="0.25">
      <c r="K740" s="54"/>
    </row>
    <row r="741" spans="11:11" x14ac:dyDescent="0.25">
      <c r="K741" s="54"/>
    </row>
    <row r="742" spans="11:11" x14ac:dyDescent="0.25">
      <c r="K742" s="54"/>
    </row>
    <row r="743" spans="11:11" x14ac:dyDescent="0.25">
      <c r="K743" s="54"/>
    </row>
    <row r="744" spans="11:11" x14ac:dyDescent="0.25">
      <c r="K744" s="54"/>
    </row>
    <row r="745" spans="11:11" x14ac:dyDescent="0.25">
      <c r="K745" s="54"/>
    </row>
    <row r="746" spans="11:11" x14ac:dyDescent="0.25">
      <c r="K746" s="54"/>
    </row>
    <row r="747" spans="11:11" x14ac:dyDescent="0.25">
      <c r="K747" s="54"/>
    </row>
    <row r="748" spans="11:11" x14ac:dyDescent="0.25">
      <c r="K748" s="54"/>
    </row>
    <row r="749" spans="11:11" x14ac:dyDescent="0.25">
      <c r="K749" s="54"/>
    </row>
    <row r="750" spans="11:11" x14ac:dyDescent="0.25">
      <c r="K750" s="54"/>
    </row>
    <row r="751" spans="11:11" x14ac:dyDescent="0.25">
      <c r="K751" s="54"/>
    </row>
    <row r="752" spans="11:11" x14ac:dyDescent="0.25">
      <c r="K752" s="54"/>
    </row>
    <row r="753" spans="11:11" x14ac:dyDescent="0.25">
      <c r="K753" s="54"/>
    </row>
    <row r="754" spans="11:11" x14ac:dyDescent="0.25">
      <c r="K754" s="54"/>
    </row>
    <row r="755" spans="11:11" x14ac:dyDescent="0.25">
      <c r="K755" s="54"/>
    </row>
    <row r="756" spans="11:11" x14ac:dyDescent="0.25">
      <c r="K756" s="54"/>
    </row>
    <row r="757" spans="11:11" x14ac:dyDescent="0.25">
      <c r="K757" s="54"/>
    </row>
    <row r="758" spans="11:11" x14ac:dyDescent="0.25">
      <c r="K758" s="54"/>
    </row>
    <row r="759" spans="11:11" x14ac:dyDescent="0.25">
      <c r="K759" s="54"/>
    </row>
    <row r="760" spans="11:11" x14ac:dyDescent="0.25">
      <c r="K760" s="54"/>
    </row>
    <row r="761" spans="11:11" x14ac:dyDescent="0.25">
      <c r="K761" s="54"/>
    </row>
    <row r="762" spans="11:11" x14ac:dyDescent="0.25">
      <c r="K762" s="54"/>
    </row>
    <row r="763" spans="11:11" x14ac:dyDescent="0.25">
      <c r="K763" s="5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AF24-61C0-4D16-A446-E9F6F038DBA8}">
  <sheetPr>
    <tabColor rgb="FF00FF00"/>
  </sheetPr>
  <dimension ref="A1:R6"/>
  <sheetViews>
    <sheetView tabSelected="1" zoomScale="205" zoomScaleNormal="205" workbookViewId="0">
      <selection activeCell="F8" sqref="F8"/>
    </sheetView>
  </sheetViews>
  <sheetFormatPr defaultColWidth="8.85546875" defaultRowHeight="15" x14ac:dyDescent="0.25"/>
  <cols>
    <col min="2" max="7" width="9" bestFit="1" customWidth="1"/>
    <col min="8" max="8" width="10.5703125" bestFit="1" customWidth="1"/>
    <col min="10" max="10" width="8" customWidth="1"/>
  </cols>
  <sheetData>
    <row r="1" spans="1:18" x14ac:dyDescent="0.25">
      <c r="I1" s="70" t="s">
        <v>851</v>
      </c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9</v>
      </c>
      <c r="I2" s="69">
        <v>0.01</v>
      </c>
      <c r="J2" s="69">
        <v>0.02</v>
      </c>
      <c r="K2" s="69">
        <v>0.03</v>
      </c>
      <c r="L2" s="69">
        <v>0.04</v>
      </c>
      <c r="M2" s="69">
        <v>0.05</v>
      </c>
      <c r="N2" s="69">
        <v>0.06</v>
      </c>
      <c r="O2" s="69">
        <v>7.0000000000000007E-2</v>
      </c>
      <c r="P2" s="69">
        <v>0.08</v>
      </c>
      <c r="Q2" s="69">
        <v>0.09</v>
      </c>
      <c r="R2" s="69">
        <v>0.1</v>
      </c>
    </row>
    <row r="3" spans="1:18" x14ac:dyDescent="0.25">
      <c r="A3" t="s">
        <v>6</v>
      </c>
      <c r="B3" s="73">
        <v>120</v>
      </c>
      <c r="C3" s="73">
        <v>170</v>
      </c>
      <c r="D3" s="73">
        <v>220</v>
      </c>
      <c r="E3" s="73">
        <v>260</v>
      </c>
      <c r="F3" s="73">
        <v>335</v>
      </c>
      <c r="G3" s="73">
        <v>420</v>
      </c>
      <c r="H3" s="73">
        <f>SUM(B3:G3)</f>
        <v>1525</v>
      </c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25">
      <c r="A4" t="s">
        <v>7</v>
      </c>
      <c r="B4" s="73">
        <v>100</v>
      </c>
      <c r="C4" s="73">
        <v>140</v>
      </c>
      <c r="D4" s="73">
        <v>170</v>
      </c>
      <c r="E4" s="73">
        <v>200</v>
      </c>
      <c r="F4" s="73">
        <v>260</v>
      </c>
      <c r="G4" s="73">
        <v>330</v>
      </c>
      <c r="H4" s="73">
        <f t="shared" ref="H4:H5" si="0">SUM(B4:G4)</f>
        <v>1200</v>
      </c>
      <c r="I4" s="73"/>
      <c r="J4" s="74"/>
      <c r="K4" s="73"/>
      <c r="L4" s="73"/>
      <c r="M4" s="73"/>
      <c r="N4" s="73"/>
      <c r="O4" s="73"/>
      <c r="P4" s="73"/>
      <c r="Q4" s="73"/>
      <c r="R4" s="73"/>
    </row>
    <row r="5" spans="1:18" x14ac:dyDescent="0.25">
      <c r="A5" t="s">
        <v>8</v>
      </c>
      <c r="B5" s="73">
        <f t="shared" ref="B5:G5" si="1">B3-B4</f>
        <v>20</v>
      </c>
      <c r="C5" s="73">
        <f t="shared" si="1"/>
        <v>30</v>
      </c>
      <c r="D5" s="73">
        <f t="shared" si="1"/>
        <v>50</v>
      </c>
      <c r="E5" s="73">
        <f t="shared" si="1"/>
        <v>60</v>
      </c>
      <c r="F5" s="73">
        <f t="shared" si="1"/>
        <v>75</v>
      </c>
      <c r="G5" s="73">
        <f t="shared" si="1"/>
        <v>90</v>
      </c>
      <c r="H5" s="73">
        <f t="shared" si="0"/>
        <v>325</v>
      </c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x14ac:dyDescent="0.25">
      <c r="B6" s="71"/>
      <c r="C6" s="72"/>
      <c r="D6" s="72"/>
      <c r="E6" s="72"/>
      <c r="F6" s="72"/>
      <c r="G6" s="72"/>
      <c r="H6" s="72"/>
      <c r="I6" s="71"/>
      <c r="J6" s="71"/>
      <c r="K6" s="71"/>
      <c r="L6" s="71"/>
      <c r="M6" s="71"/>
      <c r="N6" s="71"/>
      <c r="O6" s="71"/>
      <c r="P6" s="71"/>
      <c r="Q6" s="71"/>
      <c r="R6" s="71"/>
    </row>
  </sheetData>
  <mergeCells count="1">
    <mergeCell ref="I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Formulas</vt:lpstr>
      <vt:lpstr>CopyFormulas</vt:lpstr>
      <vt:lpstr>YTD and Pct Increase</vt:lpstr>
      <vt:lpstr>Absolute</vt:lpstr>
      <vt:lpstr>SUM AVERAGE</vt:lpstr>
      <vt:lpstr>Functions-Before XLOOKUP</vt:lpstr>
      <vt:lpstr>Functions</vt:lpstr>
      <vt:lpstr>Cell References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Burnett, Carl M</cp:lastModifiedBy>
  <dcterms:created xsi:type="dcterms:W3CDTF">2012-12-16T23:20:30Z</dcterms:created>
  <dcterms:modified xsi:type="dcterms:W3CDTF">2025-02-23T13:03:50Z</dcterms:modified>
</cp:coreProperties>
</file>